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30" activeTab="3"/>
  </bookViews>
  <sheets>
    <sheet name="TK-18C1" sheetId="1" r:id="rId1"/>
    <sheet name="TK-18C2" sheetId="17" r:id="rId2"/>
    <sheet name="TK-18T4" sheetId="9" r:id="rId3"/>
    <sheet name="TK-18T2" sheetId="18" r:id="rId4"/>
  </sheets>
  <definedNames>
    <definedName name="_xlnm.Print_Titles" localSheetId="0">'TK-18C1'!$6:$6</definedName>
    <definedName name="_xlnm.Print_Titles" localSheetId="2">'TK-18T4'!$6:$6</definedName>
  </definedNames>
  <calcPr calcId="144525"/>
</workbook>
</file>

<file path=xl/calcChain.xml><?xml version="1.0" encoding="utf-8"?>
<calcChain xmlns="http://schemas.openxmlformats.org/spreadsheetml/2006/main">
  <c r="R9" i="9" l="1"/>
  <c r="R10" i="9"/>
  <c r="R12" i="9"/>
  <c r="R14" i="9"/>
  <c r="R15" i="9"/>
  <c r="R16" i="9"/>
  <c r="R17" i="9"/>
  <c r="R21" i="9"/>
  <c r="R23" i="9"/>
  <c r="R24" i="9"/>
  <c r="R25" i="9"/>
  <c r="R26" i="9"/>
  <c r="R27" i="9"/>
  <c r="R28" i="9"/>
  <c r="R29" i="9"/>
  <c r="R30" i="9"/>
  <c r="R31" i="9"/>
  <c r="R32" i="9"/>
  <c r="R33" i="9"/>
  <c r="R34" i="9"/>
  <c r="R8" i="9"/>
  <c r="N9" i="17"/>
  <c r="N10" i="17"/>
  <c r="N11" i="17"/>
  <c r="N12" i="17"/>
  <c r="N13" i="17"/>
  <c r="N14" i="17"/>
  <c r="N8" i="17"/>
  <c r="R9" i="1"/>
  <c r="R10" i="1"/>
  <c r="R11" i="1"/>
  <c r="R12" i="1"/>
  <c r="R13" i="1"/>
  <c r="R14" i="1"/>
  <c r="R15" i="1"/>
  <c r="R16" i="1"/>
  <c r="R18" i="1"/>
  <c r="R19" i="1"/>
  <c r="R20" i="1"/>
  <c r="R21" i="1"/>
  <c r="R22" i="1"/>
  <c r="R23" i="1"/>
  <c r="R24" i="1"/>
  <c r="R25" i="1"/>
  <c r="R27" i="1"/>
  <c r="R28" i="1"/>
  <c r="R30" i="1"/>
  <c r="R31" i="1"/>
  <c r="R33" i="1"/>
  <c r="R34" i="1"/>
  <c r="R8" i="1"/>
  <c r="V8" i="18"/>
  <c r="X8" i="18" s="1"/>
  <c r="U8" i="18"/>
  <c r="J9" i="17"/>
  <c r="J10" i="17"/>
  <c r="J11" i="17"/>
  <c r="J12" i="17"/>
  <c r="J13" i="17"/>
  <c r="J14" i="17"/>
  <c r="J8" i="17"/>
  <c r="S14" i="17"/>
  <c r="R14" i="17"/>
  <c r="S13" i="17"/>
  <c r="R13" i="17"/>
  <c r="S12" i="17"/>
  <c r="R12" i="17"/>
  <c r="S11" i="17"/>
  <c r="R11" i="17"/>
  <c r="S10" i="17"/>
  <c r="R10" i="17"/>
  <c r="S9" i="17"/>
  <c r="R9" i="17"/>
  <c r="S8" i="17"/>
  <c r="R8" i="17"/>
  <c r="W34" i="9"/>
  <c r="V34" i="9"/>
  <c r="U34" i="9"/>
  <c r="U33" i="9"/>
  <c r="V33" i="9" s="1"/>
  <c r="U32" i="9"/>
  <c r="W32" i="9" s="1"/>
  <c r="W31" i="9"/>
  <c r="V31" i="9"/>
  <c r="U30" i="9"/>
  <c r="W30" i="9" s="1"/>
  <c r="W29" i="9"/>
  <c r="V29" i="9"/>
  <c r="W28" i="9"/>
  <c r="V28" i="9"/>
  <c r="W27" i="9"/>
  <c r="V27" i="9"/>
  <c r="U26" i="9"/>
  <c r="V26" i="9" s="1"/>
  <c r="U25" i="9"/>
  <c r="W25" i="9" s="1"/>
  <c r="U24" i="9"/>
  <c r="W24" i="9" s="1"/>
  <c r="U23" i="9"/>
  <c r="V23" i="9" s="1"/>
  <c r="W21" i="9"/>
  <c r="U21" i="9"/>
  <c r="V21" i="9" s="1"/>
  <c r="U17" i="9"/>
  <c r="W17" i="9" s="1"/>
  <c r="U16" i="9"/>
  <c r="W16" i="9" s="1"/>
  <c r="U15" i="9"/>
  <c r="V15" i="9" s="1"/>
  <c r="W14" i="9"/>
  <c r="V14" i="9"/>
  <c r="U14" i="9"/>
  <c r="W12" i="9"/>
  <c r="V12" i="9"/>
  <c r="W10" i="9"/>
  <c r="V10" i="9"/>
  <c r="U9" i="9"/>
  <c r="W9" i="9" s="1"/>
  <c r="U8" i="9"/>
  <c r="W8" i="9" s="1"/>
  <c r="T34" i="1"/>
  <c r="W34" i="1" s="1"/>
  <c r="T33" i="1"/>
  <c r="W33" i="1" s="1"/>
  <c r="T31" i="1"/>
  <c r="W31" i="1" s="1"/>
  <c r="T30" i="1"/>
  <c r="V30" i="1" s="1"/>
  <c r="T28" i="1"/>
  <c r="V28" i="1" s="1"/>
  <c r="T27" i="1"/>
  <c r="W27" i="1" s="1"/>
  <c r="T25" i="1"/>
  <c r="W25" i="1" s="1"/>
  <c r="T24" i="1"/>
  <c r="V24" i="1" s="1"/>
  <c r="T23" i="1"/>
  <c r="W23" i="1" s="1"/>
  <c r="T22" i="1"/>
  <c r="V22" i="1" s="1"/>
  <c r="T21" i="1"/>
  <c r="W21" i="1" s="1"/>
  <c r="T20" i="1"/>
  <c r="V20" i="1" s="1"/>
  <c r="T19" i="1"/>
  <c r="V19" i="1" s="1"/>
  <c r="T18" i="1"/>
  <c r="W18" i="1" s="1"/>
  <c r="T16" i="1"/>
  <c r="W16" i="1" s="1"/>
  <c r="T15" i="1"/>
  <c r="V15" i="1" s="1"/>
  <c r="T14" i="1"/>
  <c r="W14" i="1" s="1"/>
  <c r="T13" i="1"/>
  <c r="V13" i="1" s="1"/>
  <c r="T12" i="1"/>
  <c r="W12" i="1" s="1"/>
  <c r="Y12" i="1" s="1"/>
  <c r="T11" i="1"/>
  <c r="V11" i="1" s="1"/>
  <c r="T10" i="1"/>
  <c r="W10" i="1" s="1"/>
  <c r="Y10" i="1" s="1"/>
  <c r="T9" i="1"/>
  <c r="V9" i="1" s="1"/>
  <c r="T8" i="1"/>
  <c r="V8" i="1" s="1"/>
  <c r="W15" i="9" l="1"/>
  <c r="W26" i="9"/>
  <c r="W23" i="9"/>
  <c r="V9" i="9"/>
  <c r="V17" i="9"/>
  <c r="V25" i="9"/>
  <c r="V30" i="9"/>
  <c r="V8" i="9"/>
  <c r="V16" i="9"/>
  <c r="V24" i="9"/>
  <c r="V32" i="9"/>
  <c r="W33" i="9"/>
  <c r="W19" i="1"/>
  <c r="W20" i="1"/>
  <c r="V23" i="1"/>
  <c r="W15" i="1"/>
  <c r="V14" i="1"/>
  <c r="W30" i="1"/>
  <c r="W28" i="1"/>
  <c r="V34" i="1"/>
  <c r="W24" i="1"/>
  <c r="V10" i="1"/>
  <c r="V12" i="1"/>
  <c r="V18" i="1"/>
  <c r="V27" i="1"/>
  <c r="V33" i="1"/>
  <c r="W9" i="1"/>
  <c r="Y9" i="1" s="1"/>
  <c r="W11" i="1"/>
  <c r="Y11" i="1" s="1"/>
  <c r="W13" i="1"/>
  <c r="V16" i="1"/>
  <c r="V21" i="1"/>
  <c r="W22" i="1"/>
  <c r="V25" i="1"/>
  <c r="V31" i="1"/>
  <c r="W8" i="1"/>
  <c r="Y35" i="1" l="1"/>
  <c r="L8" i="18"/>
  <c r="N8" i="18" s="1"/>
  <c r="O22" i="18"/>
  <c r="Q22" i="18" s="1"/>
  <c r="N22" i="18"/>
  <c r="G22" i="18"/>
  <c r="I22" i="18" s="1"/>
  <c r="F22" i="18"/>
  <c r="F8" i="18"/>
  <c r="H8" i="18" s="1"/>
  <c r="E8" i="18"/>
  <c r="L9" i="17"/>
  <c r="M10" i="17"/>
  <c r="M11" i="17"/>
  <c r="K12" i="17"/>
  <c r="L13" i="17"/>
  <c r="L14" i="17"/>
  <c r="L8" i="17"/>
  <c r="F14" i="17"/>
  <c r="E14" i="17"/>
  <c r="F13" i="17"/>
  <c r="E13" i="17"/>
  <c r="F12" i="17"/>
  <c r="E12" i="17"/>
  <c r="F11" i="17"/>
  <c r="E11" i="17"/>
  <c r="F10" i="17"/>
  <c r="E10" i="17"/>
  <c r="F9" i="17"/>
  <c r="E9" i="17"/>
  <c r="F8" i="17"/>
  <c r="E8" i="17"/>
  <c r="M12" i="9"/>
  <c r="N12" i="9" s="1"/>
  <c r="M17" i="9"/>
  <c r="N17" i="9" s="1"/>
  <c r="M25" i="9"/>
  <c r="O25" i="9" s="1"/>
  <c r="M29" i="9"/>
  <c r="N29" i="9" s="1"/>
  <c r="M33" i="9"/>
  <c r="N33" i="9" s="1"/>
  <c r="L34" i="9"/>
  <c r="K34" i="9"/>
  <c r="M34" i="9" s="1"/>
  <c r="L33" i="9"/>
  <c r="K33" i="9"/>
  <c r="L32" i="9"/>
  <c r="K32" i="9"/>
  <c r="M32" i="9" s="1"/>
  <c r="L31" i="9"/>
  <c r="K31" i="9"/>
  <c r="M31" i="9" s="1"/>
  <c r="L30" i="9"/>
  <c r="K30" i="9"/>
  <c r="M30" i="9" s="1"/>
  <c r="L29" i="9"/>
  <c r="K29" i="9"/>
  <c r="L28" i="9"/>
  <c r="K28" i="9"/>
  <c r="M28" i="9" s="1"/>
  <c r="L27" i="9"/>
  <c r="K27" i="9"/>
  <c r="M27" i="9" s="1"/>
  <c r="L26" i="9"/>
  <c r="K26" i="9"/>
  <c r="M26" i="9" s="1"/>
  <c r="L25" i="9"/>
  <c r="K25" i="9"/>
  <c r="L24" i="9"/>
  <c r="K24" i="9"/>
  <c r="M24" i="9" s="1"/>
  <c r="L23" i="9"/>
  <c r="K23" i="9"/>
  <c r="M23" i="9" s="1"/>
  <c r="L21" i="9"/>
  <c r="K21" i="9"/>
  <c r="M21" i="9" s="1"/>
  <c r="L17" i="9"/>
  <c r="K17" i="9"/>
  <c r="L16" i="9"/>
  <c r="K16" i="9"/>
  <c r="M16" i="9" s="1"/>
  <c r="L15" i="9"/>
  <c r="K15" i="9"/>
  <c r="M15" i="9" s="1"/>
  <c r="L14" i="9"/>
  <c r="K14" i="9"/>
  <c r="M14" i="9" s="1"/>
  <c r="L12" i="9"/>
  <c r="K12" i="9"/>
  <c r="L10" i="9"/>
  <c r="K10" i="9"/>
  <c r="M10" i="9" s="1"/>
  <c r="L9" i="9"/>
  <c r="K9" i="9"/>
  <c r="M9" i="9" s="1"/>
  <c r="L8" i="9"/>
  <c r="K8" i="9"/>
  <c r="M8" i="9" s="1"/>
  <c r="M19" i="1"/>
  <c r="N19" i="1" s="1"/>
  <c r="M27" i="1"/>
  <c r="O27" i="1" s="1"/>
  <c r="M34" i="1"/>
  <c r="N34" i="1" s="1"/>
  <c r="K8" i="1"/>
  <c r="M8" i="1" s="1"/>
  <c r="N8" i="1" s="1"/>
  <c r="K33" i="1"/>
  <c r="M33" i="1" s="1"/>
  <c r="K31" i="1"/>
  <c r="M31" i="1" s="1"/>
  <c r="K30" i="1"/>
  <c r="M30" i="1" s="1"/>
  <c r="K28" i="1"/>
  <c r="M28" i="1" s="1"/>
  <c r="N28" i="1" s="1"/>
  <c r="K25" i="1"/>
  <c r="M25" i="1" s="1"/>
  <c r="K24" i="1"/>
  <c r="M24" i="1" s="1"/>
  <c r="K23" i="1"/>
  <c r="M23" i="1" s="1"/>
  <c r="K22" i="1"/>
  <c r="M22" i="1" s="1"/>
  <c r="O22" i="1" s="1"/>
  <c r="K21" i="1"/>
  <c r="M21" i="1" s="1"/>
  <c r="K20" i="1"/>
  <c r="M20" i="1" s="1"/>
  <c r="K18" i="1"/>
  <c r="M18" i="1" s="1"/>
  <c r="K16" i="1"/>
  <c r="M16" i="1" s="1"/>
  <c r="K15" i="1"/>
  <c r="M15" i="1" s="1"/>
  <c r="K14" i="1"/>
  <c r="M14" i="1" s="1"/>
  <c r="K13" i="1"/>
  <c r="M13" i="1" s="1"/>
  <c r="K12" i="1"/>
  <c r="M12" i="1" s="1"/>
  <c r="K11" i="1"/>
  <c r="M11" i="1" s="1"/>
  <c r="K10" i="1"/>
  <c r="M10" i="1" s="1"/>
  <c r="K9" i="1"/>
  <c r="M9" i="1" s="1"/>
  <c r="M12" i="17" l="1"/>
  <c r="K14" i="17"/>
  <c r="O9" i="9"/>
  <c r="N9" i="9"/>
  <c r="O15" i="9"/>
  <c r="N15" i="9"/>
  <c r="O23" i="9"/>
  <c r="N23" i="9"/>
  <c r="O27" i="9"/>
  <c r="N27" i="9"/>
  <c r="O31" i="9"/>
  <c r="N31" i="9"/>
  <c r="N8" i="9"/>
  <c r="O8" i="9"/>
  <c r="N10" i="9"/>
  <c r="O10" i="9"/>
  <c r="O14" i="9"/>
  <c r="N14" i="9"/>
  <c r="N16" i="9"/>
  <c r="O16" i="9"/>
  <c r="N21" i="9"/>
  <c r="O21" i="9"/>
  <c r="N24" i="9"/>
  <c r="O24" i="9"/>
  <c r="N26" i="9"/>
  <c r="O26" i="9"/>
  <c r="N28" i="9"/>
  <c r="O28" i="9"/>
  <c r="N30" i="9"/>
  <c r="O30" i="9"/>
  <c r="N32" i="9"/>
  <c r="O32" i="9"/>
  <c r="O34" i="9"/>
  <c r="N34" i="9"/>
  <c r="O17" i="9"/>
  <c r="N25" i="9"/>
  <c r="O33" i="9"/>
  <c r="O29" i="9"/>
  <c r="O12" i="9"/>
  <c r="O9" i="1"/>
  <c r="N9" i="1"/>
  <c r="O18" i="1"/>
  <c r="N18" i="1"/>
  <c r="N20" i="1"/>
  <c r="O20" i="1"/>
  <c r="N14" i="1"/>
  <c r="O14" i="1"/>
  <c r="N24" i="1"/>
  <c r="O24" i="1"/>
  <c r="N11" i="1"/>
  <c r="O11" i="1"/>
  <c r="N15" i="1"/>
  <c r="O15" i="1"/>
  <c r="N21" i="1"/>
  <c r="O21" i="1"/>
  <c r="N25" i="1"/>
  <c r="O25" i="1"/>
  <c r="O33" i="1"/>
  <c r="N33" i="1"/>
  <c r="N12" i="1"/>
  <c r="O12" i="1"/>
  <c r="N16" i="1"/>
  <c r="O16" i="1"/>
  <c r="N30" i="1"/>
  <c r="O30" i="1"/>
  <c r="O13" i="1"/>
  <c r="N13" i="1"/>
  <c r="N23" i="1"/>
  <c r="O23" i="1"/>
  <c r="N10" i="1"/>
  <c r="O10" i="1"/>
  <c r="N31" i="1"/>
  <c r="O31" i="1"/>
  <c r="N27" i="1"/>
  <c r="N22" i="1"/>
  <c r="O8" i="1"/>
  <c r="O34" i="1"/>
  <c r="O28" i="1"/>
  <c r="O19" i="1"/>
  <c r="M8" i="18"/>
  <c r="K11" i="17"/>
  <c r="L11" i="17"/>
  <c r="K10" i="17"/>
  <c r="L10" i="17"/>
  <c r="K8" i="17"/>
  <c r="M13" i="17"/>
  <c r="M9" i="17"/>
  <c r="K13" i="17"/>
  <c r="K9" i="17"/>
  <c r="L12" i="17"/>
  <c r="C39" i="9" l="1"/>
  <c r="D39" i="9"/>
  <c r="F39" i="9" s="1"/>
  <c r="H39" i="9" s="1"/>
  <c r="D38" i="9"/>
  <c r="E38" i="9" s="1"/>
  <c r="D37" i="9"/>
  <c r="E37" i="9" s="1"/>
  <c r="C34" i="9"/>
  <c r="D34" i="9"/>
  <c r="C33" i="9"/>
  <c r="D33" i="9"/>
  <c r="F33" i="9" s="1"/>
  <c r="H33" i="9" s="1"/>
  <c r="C32" i="9"/>
  <c r="D32" i="9"/>
  <c r="F32" i="9" s="1"/>
  <c r="H32" i="9" s="1"/>
  <c r="C31" i="9"/>
  <c r="D31" i="9"/>
  <c r="F31" i="9" s="1"/>
  <c r="H31" i="9" s="1"/>
  <c r="C30" i="9"/>
  <c r="D30" i="9"/>
  <c r="C29" i="9"/>
  <c r="D29" i="9"/>
  <c r="F29" i="9" s="1"/>
  <c r="H29" i="9" s="1"/>
  <c r="C28" i="9"/>
  <c r="D28" i="9"/>
  <c r="C27" i="9"/>
  <c r="D27" i="9"/>
  <c r="C26" i="9"/>
  <c r="D26" i="9"/>
  <c r="C25" i="9"/>
  <c r="D25" i="9"/>
  <c r="F25" i="9" s="1"/>
  <c r="H25" i="9" s="1"/>
  <c r="C24" i="9"/>
  <c r="D24" i="9"/>
  <c r="F24" i="9" s="1"/>
  <c r="H24" i="9" s="1"/>
  <c r="C23" i="9"/>
  <c r="D23" i="9"/>
  <c r="F23" i="9" s="1"/>
  <c r="H23" i="9" s="1"/>
  <c r="C21" i="9"/>
  <c r="D21" i="9"/>
  <c r="F21" i="9" s="1"/>
  <c r="H21" i="9" s="1"/>
  <c r="C17" i="9"/>
  <c r="D17" i="9"/>
  <c r="F17" i="9" s="1"/>
  <c r="H17" i="9" s="1"/>
  <c r="C16" i="9"/>
  <c r="D16" i="9"/>
  <c r="F16" i="9" s="1"/>
  <c r="H16" i="9" s="1"/>
  <c r="C15" i="9"/>
  <c r="D15" i="9"/>
  <c r="F15" i="9" s="1"/>
  <c r="H15" i="9" s="1"/>
  <c r="C14" i="9"/>
  <c r="D14" i="9"/>
  <c r="F14" i="9" s="1"/>
  <c r="H14" i="9" s="1"/>
  <c r="C12" i="9"/>
  <c r="D12" i="9"/>
  <c r="C10" i="9"/>
  <c r="D10" i="9"/>
  <c r="F10" i="9" s="1"/>
  <c r="H10" i="9" s="1"/>
  <c r="C9" i="9"/>
  <c r="D9" i="9"/>
  <c r="F9" i="9" s="1"/>
  <c r="H9" i="9" s="1"/>
  <c r="C8" i="9"/>
  <c r="D8" i="9"/>
  <c r="F8" i="9" s="1"/>
  <c r="H8" i="9" s="1"/>
  <c r="E12" i="9" l="1"/>
  <c r="E28" i="9"/>
  <c r="E30" i="9"/>
  <c r="E34" i="9"/>
  <c r="E27" i="9"/>
  <c r="E25" i="9"/>
  <c r="F27" i="9"/>
  <c r="H27" i="9" s="1"/>
  <c r="E8" i="9"/>
  <c r="E32" i="9"/>
  <c r="F28" i="9"/>
  <c r="H28" i="9" s="1"/>
  <c r="E9" i="9"/>
  <c r="E17" i="9"/>
  <c r="F37" i="9"/>
  <c r="H37" i="9" s="1"/>
  <c r="E16" i="9"/>
  <c r="E24" i="9"/>
  <c r="E29" i="9"/>
  <c r="E33" i="9"/>
  <c r="E39" i="9"/>
  <c r="E15" i="9"/>
  <c r="E23" i="9"/>
  <c r="E26" i="9"/>
  <c r="E31" i="9"/>
  <c r="F38" i="9"/>
  <c r="H38" i="9" s="1"/>
  <c r="E10" i="9"/>
  <c r="E14" i="9"/>
  <c r="E21" i="9"/>
  <c r="F12" i="9"/>
  <c r="H12" i="9" s="1"/>
  <c r="F26" i="9"/>
  <c r="H26" i="9" s="1"/>
  <c r="F30" i="9"/>
  <c r="H30" i="9" s="1"/>
  <c r="F34" i="9"/>
  <c r="H34" i="9" s="1"/>
  <c r="F19" i="1" l="1"/>
  <c r="H19" i="1" s="1"/>
  <c r="F27" i="1"/>
  <c r="H27" i="1" s="1"/>
  <c r="F34" i="1"/>
  <c r="H34" i="1" s="1"/>
  <c r="D33" i="1"/>
  <c r="F33" i="1" s="1"/>
  <c r="H33" i="1" s="1"/>
  <c r="D31" i="1"/>
  <c r="F31" i="1" s="1"/>
  <c r="H31" i="1" s="1"/>
  <c r="D30" i="1"/>
  <c r="F30" i="1" s="1"/>
  <c r="H30" i="1" s="1"/>
  <c r="D28" i="1"/>
  <c r="E28" i="1" s="1"/>
  <c r="E34" i="1"/>
  <c r="D25" i="1"/>
  <c r="E25" i="1" s="1"/>
  <c r="D24" i="1"/>
  <c r="F24" i="1" s="1"/>
  <c r="H24" i="1" s="1"/>
  <c r="D23" i="1"/>
  <c r="F23" i="1" s="1"/>
  <c r="H23" i="1" s="1"/>
  <c r="D22" i="1"/>
  <c r="F22" i="1" s="1"/>
  <c r="H22" i="1" s="1"/>
  <c r="D21" i="1"/>
  <c r="F21" i="1" s="1"/>
  <c r="H21" i="1" s="1"/>
  <c r="D20" i="1"/>
  <c r="F20" i="1" s="1"/>
  <c r="H20" i="1" s="1"/>
  <c r="D18" i="1"/>
  <c r="F18" i="1" s="1"/>
  <c r="H18" i="1" s="1"/>
  <c r="D16" i="1"/>
  <c r="E16" i="1" s="1"/>
  <c r="D15" i="1"/>
  <c r="E15" i="1" s="1"/>
  <c r="D14" i="1"/>
  <c r="F14" i="1" s="1"/>
  <c r="H14" i="1" s="1"/>
  <c r="D13" i="1"/>
  <c r="F13" i="1" s="1"/>
  <c r="H13" i="1" s="1"/>
  <c r="D12" i="1"/>
  <c r="E12" i="1" s="1"/>
  <c r="D11" i="1"/>
  <c r="E11" i="1" s="1"/>
  <c r="D10" i="1"/>
  <c r="F10" i="1" s="1"/>
  <c r="H10" i="1" s="1"/>
  <c r="D9" i="1"/>
  <c r="E9" i="1" s="1"/>
  <c r="E19" i="1"/>
  <c r="E27" i="1"/>
  <c r="D8" i="1"/>
  <c r="E8" i="1" s="1"/>
  <c r="E24" i="1" l="1"/>
  <c r="E13" i="1"/>
  <c r="E21" i="1"/>
  <c r="E23" i="1"/>
  <c r="E14" i="1"/>
  <c r="E20" i="1"/>
  <c r="E22" i="1"/>
  <c r="E31" i="1"/>
  <c r="E10" i="1"/>
  <c r="E18" i="1"/>
  <c r="E30" i="1"/>
  <c r="F8" i="1"/>
  <c r="H8" i="1" s="1"/>
  <c r="F28" i="1"/>
  <c r="H28" i="1" s="1"/>
  <c r="F16" i="1"/>
  <c r="H16" i="1" s="1"/>
  <c r="F12" i="1"/>
  <c r="H12" i="1" s="1"/>
  <c r="E33" i="1"/>
  <c r="F15" i="1"/>
  <c r="H15" i="1" s="1"/>
  <c r="F11" i="1"/>
  <c r="H11" i="1" s="1"/>
  <c r="F25" i="1"/>
  <c r="H25" i="1" s="1"/>
  <c r="F9" i="1"/>
  <c r="H9" i="1" s="1"/>
</calcChain>
</file>

<file path=xl/sharedStrings.xml><?xml version="1.0" encoding="utf-8"?>
<sst xmlns="http://schemas.openxmlformats.org/spreadsheetml/2006/main" count="272" uniqueCount="113">
  <si>
    <t>CNKT CƠ KHÍ</t>
  </si>
  <si>
    <t>Tên ngành</t>
  </si>
  <si>
    <t>Số TC học tại DN</t>
  </si>
  <si>
    <t>6/12</t>
  </si>
  <si>
    <t>3/7</t>
  </si>
  <si>
    <t>4/8</t>
  </si>
  <si>
    <t>5/9</t>
  </si>
  <si>
    <t>5/10</t>
  </si>
  <si>
    <t>5/13</t>
  </si>
  <si>
    <t>7/22 chỉ T,hành
có 20 mô đun</t>
  </si>
  <si>
    <t>5/23 chỉ T,hành
có 18 mô đun</t>
  </si>
  <si>
    <t>6/24 chỉ T,hành
có 20 mô đun</t>
  </si>
  <si>
    <t>7/23 chỉ T,hành
có 16 mô đun</t>
  </si>
  <si>
    <t>6/24 chỉ T,hành
có 17 mô đun</t>
  </si>
  <si>
    <t>6/23 chỉ T,hành
có 19 mô đun</t>
  </si>
  <si>
    <t>3/4</t>
  </si>
  <si>
    <t>3/3</t>
  </si>
  <si>
    <t>2/3</t>
  </si>
  <si>
    <t>4/9</t>
  </si>
  <si>
    <t>3/6</t>
  </si>
  <si>
    <t>4/7</t>
  </si>
  <si>
    <t>5/8</t>
  </si>
  <si>
    <t>2/5</t>
  </si>
  <si>
    <t>11/17 chỉ T,hành
có 13 mô đun</t>
  </si>
  <si>
    <t>11/16 chỉ T,hành
có 14 mô đun</t>
  </si>
  <si>
    <t>12/17 chỉ T,hành
có 14 mô đun</t>
  </si>
  <si>
    <t>9/16 chỉ T,hành
có 10 mô đun</t>
  </si>
  <si>
    <t>9/16 chỉ T,hành
có 11 mô đun</t>
  </si>
  <si>
    <t>8/17 chỉ T,hành
có 11 mô đun</t>
  </si>
  <si>
    <t>6/17 chỉ T,hành
có 14 mô đun</t>
  </si>
  <si>
    <t>1/3</t>
  </si>
  <si>
    <t>1/2</t>
  </si>
  <si>
    <t>4/6</t>
  </si>
  <si>
    <t>5/6</t>
  </si>
  <si>
    <t>5/11 chỉ T,hành
có 10 mô đun</t>
  </si>
  <si>
    <t>TỔNG CỘNG</t>
  </si>
  <si>
    <t>TỔNG CỘNG:</t>
  </si>
  <si>
    <t>14/23 NGÀNH ĐẠT 60%</t>
  </si>
  <si>
    <t>21/21 NGÀNH ĐẠT 60%</t>
  </si>
  <si>
    <t>3/3 NGÀNH ĐẠT 60%</t>
  </si>
  <si>
    <t>16/21 NGÀNH ĐẠT 60%</t>
  </si>
  <si>
    <t>Tổng số % đạt tỷ lệ 60% của toàn khóa:</t>
  </si>
  <si>
    <t>Tổng số % đạt tỷ lệ 60% trừ môn học chung:</t>
  </si>
  <si>
    <t>Thống kê chương trình cao đẳng</t>
  </si>
  <si>
    <t>Tổng số % số CTDT T4 đạt tỷ lệ 60% trừ văn hóa:</t>
  </si>
  <si>
    <t>Tổng số % số CTDT T4+T2 đạt tỷ lệ 60% trừ văn hóa:</t>
  </si>
  <si>
    <t>TỔNG SỐ CTDT (CĐ+TC) ĐẠT 60% TOÀN KHÓA:</t>
  </si>
  <si>
    <t>TỔNG SỐ CTDT (CĐ+TC) ĐẠT 60% TRỪ PHẦN CHUNG</t>
  </si>
  <si>
    <t>Kỹ thuật xây dựng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</si>
  <si>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</si>
  <si>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</si>
  <si>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</si>
  <si>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</si>
  <si>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</si>
  <si>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</si>
  <si>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</si>
  <si>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</si>
  <si>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</si>
  <si>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</si>
  <si>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</si>
  <si>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</si>
  <si>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</si>
  <si>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CNKT máy tính</t>
  </si>
  <si>
    <t>Thiết kế đồ họa</t>
  </si>
  <si>
    <t>An ninh mạng</t>
  </si>
  <si>
    <t>Lập trình máy tính</t>
  </si>
  <si>
    <t>Tin học ứng dụng</t>
  </si>
  <si>
    <t>Thiết kế Web</t>
  </si>
  <si>
    <t>Kế toán DN</t>
  </si>
  <si>
    <t>Quản trị DN</t>
  </si>
  <si>
    <t>Tài chính DN</t>
  </si>
  <si>
    <t>Tiếng Anh</t>
  </si>
  <si>
    <t>Công nghệ may</t>
  </si>
  <si>
    <t>TT</t>
  </si>
  <si>
    <t>Số giờ TH</t>
  </si>
  <si>
    <t>Số môn TT/ số tín chỉ của HK4</t>
  </si>
  <si>
    <t>CNKT Cơ khí</t>
  </si>
  <si>
    <r>
      <t xml:space="preserve">Số môn TH/ số tín chỉ TH của HK4,5,6
</t>
    </r>
    <r>
      <rPr>
        <i/>
        <sz val="12"/>
        <rFont val="Times New Roman"/>
        <family val="1"/>
      </rPr>
      <t>(trừ TTTN)</t>
    </r>
  </si>
  <si>
    <t>Số giờ tổng của CTĐT</t>
  </si>
  <si>
    <t>Số giờ TH của CTĐT</t>
  </si>
  <si>
    <t>Tỷ lệ % TH/Tổng số giờ của CTĐT</t>
  </si>
  <si>
    <t>Số giờ TH 40% học tại DN</t>
  </si>
  <si>
    <t>Số giờ TTTN tại DN</t>
  </si>
  <si>
    <t>Số tín chỉ TH tối thiểu  học tại DN còn lại</t>
  </si>
  <si>
    <t xml:space="preserve">21/23 ngành đạt 60% </t>
  </si>
  <si>
    <t>21/21 ngành đạt 60%</t>
  </si>
  <si>
    <t>01/01 ngành đạt</t>
  </si>
  <si>
    <t>Công nghệ Ô tô</t>
  </si>
  <si>
    <t xml:space="preserve">7/7 ngành đạt 60% </t>
  </si>
  <si>
    <t>19/23 NGÀNH ĐẠT 60%</t>
  </si>
  <si>
    <t>Số TC học tại DN thay đổi bổ sung kiến tập</t>
  </si>
  <si>
    <t>Số tín chỉ TH học tại DN</t>
  </si>
  <si>
    <t xml:space="preserve">2/7 ngành đạt 60% </t>
  </si>
  <si>
    <t>UBND THÀNH PHỐ HỒ CHÍ MINH</t>
  </si>
  <si>
    <t>TRƯỜNG CAO ĐẲNG LÝ TỰ TRỌNG</t>
  </si>
  <si>
    <t>THÀNH PHỐ HỒ CHÍ MINH</t>
  </si>
  <si>
    <t>CỘNG HÒA XÃ HÔI CHỦ NGHĨA VIỆT NAM</t>
  </si>
  <si>
    <t>Độc lập - Tự do - Hạnh phúc</t>
  </si>
  <si>
    <t>Số giờ TH toàn chương trình (Có môn kiến tập)</t>
  </si>
  <si>
    <t>Số TC học tại DN thay đổi bổ sung môn kiến tập so với tỷ lệ % không tính môn chung</t>
  </si>
  <si>
    <r>
      <t xml:space="preserve">Số giờ TH của CTĐT </t>
    </r>
    <r>
      <rPr>
        <i/>
        <sz val="12"/>
        <color theme="1"/>
        <rFont val="Times New Roman"/>
        <family val="1"/>
      </rPr>
      <t>(trừ môn chung)</t>
    </r>
  </si>
  <si>
    <r>
      <t xml:space="preserve">Số giờ tổng của CTĐT </t>
    </r>
    <r>
      <rPr>
        <i/>
        <sz val="12"/>
        <color theme="1"/>
        <rFont val="Times New Roman"/>
        <family val="1"/>
      </rPr>
      <t>(trừ môn chung)</t>
    </r>
  </si>
  <si>
    <t>TOÀN CHƯƠNG TRÌNH</t>
  </si>
  <si>
    <t>TOÀN CHƯƠNG TRÌNH (CÓ TÍNH 90 GIỜ THỰC HÀNH CỦA MÔN KIẾN TẬP)</t>
  </si>
  <si>
    <t>SỐ LIỆU 60% KHÔNG TÍNH MÔN HỌC CHUNG</t>
  </si>
  <si>
    <r>
      <t xml:space="preserve">Số giờ tổng của CTĐT </t>
    </r>
    <r>
      <rPr>
        <i/>
        <sz val="12"/>
        <color theme="1"/>
        <rFont val="Times New Roman"/>
        <family val="1"/>
      </rPr>
      <t>(trừ môn học chung)</t>
    </r>
  </si>
  <si>
    <r>
      <t xml:space="preserve">Số giờ TH của CTĐT </t>
    </r>
    <r>
      <rPr>
        <i/>
        <sz val="12"/>
        <color theme="1"/>
        <rFont val="Times New Roman"/>
        <family val="1"/>
      </rPr>
      <t>(trừ môn học chung)</t>
    </r>
  </si>
  <si>
    <t>BẢNG THỐNG KÊ TỶ LỆ ĐẠT 60% THỰC HÀNH TRÌNH ĐỘ TRUNG CẤP (T4) - KHÓA 2018</t>
  </si>
  <si>
    <t>BẢNG THỐNG KÊ TỶ LỆ ĐẠT 60% THỰC HÀNH TRÌNH ĐỘ CAO ĐẲNG (C1) - KHÓA 2018</t>
  </si>
  <si>
    <t>BẢNG THỐNG KÊ TỶ LỆ ĐẠT 60% THỰC HÀNH TRÌNH ĐỘ LIÊN THÔNG CAO ĐẲNG (C2) - KHÓA 2018</t>
  </si>
  <si>
    <r>
      <t xml:space="preserve">Số giờ TH toàn chương trình </t>
    </r>
    <r>
      <rPr>
        <i/>
        <sz val="11"/>
        <color theme="1"/>
        <rFont val="Times New Roman"/>
        <family val="1"/>
      </rPr>
      <t>(Có môn kiến tập)</t>
    </r>
  </si>
  <si>
    <t>BẢNG THỐNG KÊ TỶ LỆ ĐẠT 60% THỰC HÀNH TRÌNH ĐỘ TRUNG CẤP (T2) - KHÓA 2018</t>
  </si>
  <si>
    <t>Công nghệ Chế tạo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</si>
</sst>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u val="double"/>
      <sz val="10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u val="double"/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6"/>
      <name val="Times New Roman"/>
      <family val="1"/>
    </font>
    <font>
      <b/>
      <u/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1" xfId="0" applyFont="1" applyBorder="1"/>
    <xf numFmtId="10" fontId="3" fillId="0" borderId="0" xfId="0" applyNumberFormat="1" applyFont="1" applyBorder="1" applyAlignment="1">
      <alignment horizontal="center"/>
    </xf>
    <xf numFmtId="10" fontId="3" fillId="0" borderId="0" xfId="0" applyNumberFormat="1" applyFont="1" applyAlignment="1">
      <alignment vertical="center"/>
    </xf>
    <xf numFmtId="10" fontId="3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/>
    <xf numFmtId="10" fontId="4" fillId="0" borderId="0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9" fontId="9" fillId="0" borderId="0" xfId="0" applyNumberFormat="1" applyFont="1" applyAlignment="1">
      <alignment horizontal="center"/>
    </xf>
    <xf numFmtId="0" fontId="10" fillId="0" borderId="0" xfId="0" applyFont="1"/>
    <xf numFmtId="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1" xfId="0" applyFont="1" applyBorder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6" borderId="5" xfId="0" quotePrefix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8" fillId="6" borderId="5" xfId="0" quotePrefix="1" applyFont="1" applyFill="1" applyBorder="1" applyAlignment="1">
      <alignment horizontal="center" vertical="center" wrapText="1"/>
    </xf>
    <xf numFmtId="0" fontId="7" fillId="6" borderId="5" xfId="0" quotePrefix="1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quotePrefix="1" applyFont="1" applyFill="1" applyBorder="1" applyAlignment="1">
      <alignment horizontal="center" vertical="center"/>
    </xf>
    <xf numFmtId="0" fontId="7" fillId="0" borderId="4" xfId="0" quotePrefix="1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6" fillId="6" borderId="5" xfId="0" quotePrefix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 wrapText="1"/>
    </xf>
    <xf numFmtId="0" fontId="22" fillId="0" borderId="0" xfId="0" applyFont="1"/>
    <xf numFmtId="0" fontId="18" fillId="0" borderId="0" xfId="0" applyFont="1" applyBorder="1" applyAlignment="1">
      <alignment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3" fillId="7" borderId="5" xfId="0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indent="1"/>
    </xf>
    <xf numFmtId="0" fontId="22" fillId="0" borderId="0" xfId="0" applyFont="1" applyAlignment="1">
      <alignment horizontal="left" indent="2"/>
    </xf>
    <xf numFmtId="0" fontId="22" fillId="0" borderId="0" xfId="0" applyFont="1" applyAlignment="1">
      <alignment horizontal="left" indent="5"/>
    </xf>
    <xf numFmtId="0" fontId="26" fillId="0" borderId="0" xfId="0" applyFont="1" applyAlignment="1">
      <alignment horizontal="left" indent="11"/>
    </xf>
    <xf numFmtId="0" fontId="24" fillId="0" borderId="6" xfId="0" applyFont="1" applyBorder="1" applyAlignment="1">
      <alignment horizontal="left" vertical="center"/>
    </xf>
    <xf numFmtId="0" fontId="16" fillId="0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indent="5"/>
    </xf>
    <xf numFmtId="0" fontId="27" fillId="0" borderId="0" xfId="0" applyFont="1" applyAlignment="1">
      <alignment horizontal="left" indent="1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2"/>
    </xf>
    <xf numFmtId="0" fontId="5" fillId="7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9" fontId="5" fillId="0" borderId="5" xfId="0" applyNumberFormat="1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/>
    </xf>
    <xf numFmtId="9" fontId="5" fillId="0" borderId="1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9" fontId="5" fillId="0" borderId="7" xfId="0" applyNumberFormat="1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9" fontId="5" fillId="7" borderId="5" xfId="0" applyNumberFormat="1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/>
    </xf>
    <xf numFmtId="0" fontId="29" fillId="7" borderId="5" xfId="0" applyFont="1" applyFill="1" applyBorder="1" applyAlignment="1">
      <alignment horizontal="center" vertical="center" wrapText="1"/>
    </xf>
    <xf numFmtId="9" fontId="24" fillId="7" borderId="5" xfId="0" applyNumberFormat="1" applyFont="1" applyFill="1" applyBorder="1" applyAlignment="1">
      <alignment horizontal="center" vertical="center" wrapText="1"/>
    </xf>
    <xf numFmtId="0" fontId="24" fillId="7" borderId="5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16" fillId="7" borderId="1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23" fillId="0" borderId="9" xfId="0" applyFont="1" applyFill="1" applyBorder="1" applyAlignment="1">
      <alignment horizontal="center" vertical="center" wrapText="1"/>
    </xf>
    <xf numFmtId="0" fontId="30" fillId="7" borderId="10" xfId="0" applyFont="1" applyFill="1" applyBorder="1" applyAlignment="1">
      <alignment horizontal="center" vertical="center" wrapText="1"/>
    </xf>
    <xf numFmtId="0" fontId="24" fillId="7" borderId="10" xfId="0" applyFont="1" applyFill="1" applyBorder="1" applyAlignment="1">
      <alignment horizontal="center" vertical="center" wrapText="1"/>
    </xf>
    <xf numFmtId="0" fontId="24" fillId="7" borderId="10" xfId="0" applyFont="1" applyFill="1" applyBorder="1" applyAlignment="1">
      <alignment horizontal="center" vertical="center"/>
    </xf>
    <xf numFmtId="0" fontId="17" fillId="0" borderId="10" xfId="0" applyFont="1" applyBorder="1" applyAlignment="1">
      <alignment vertical="center"/>
    </xf>
    <xf numFmtId="0" fontId="23" fillId="7" borderId="1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13607</xdr:rowOff>
    </xdr:from>
    <xdr:to>
      <xdr:col>1</xdr:col>
      <xdr:colOff>1374321</xdr:colOff>
      <xdr:row>3</xdr:row>
      <xdr:rowOff>13607</xdr:rowOff>
    </xdr:to>
    <xdr:cxnSp macro="">
      <xdr:nvCxnSpPr>
        <xdr:cNvPr id="3" name="Straight Connector 2"/>
        <xdr:cNvCxnSpPr/>
      </xdr:nvCxnSpPr>
      <xdr:spPr>
        <a:xfrm>
          <a:off x="639536" y="585107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13607</xdr:rowOff>
    </xdr:from>
    <xdr:to>
      <xdr:col>1</xdr:col>
      <xdr:colOff>1374321</xdr:colOff>
      <xdr:row>3</xdr:row>
      <xdr:rowOff>13607</xdr:rowOff>
    </xdr:to>
    <xdr:cxnSp macro="">
      <xdr:nvCxnSpPr>
        <xdr:cNvPr id="2" name="Straight Connector 1"/>
        <xdr:cNvCxnSpPr/>
      </xdr:nvCxnSpPr>
      <xdr:spPr>
        <a:xfrm>
          <a:off x="632732" y="585107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579780</xdr:colOff>
      <xdr:row>3</xdr:row>
      <xdr:rowOff>0</xdr:rowOff>
    </xdr:from>
    <xdr:to>
      <xdr:col>1</xdr:col>
      <xdr:colOff>1399758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976" y="621196"/>
          <a:ext cx="8199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579780</xdr:colOff>
      <xdr:row>3</xdr:row>
      <xdr:rowOff>0</xdr:rowOff>
    </xdr:from>
    <xdr:to>
      <xdr:col>1</xdr:col>
      <xdr:colOff>1399758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17905" y="628650"/>
          <a:ext cx="8199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4"/>
  <sheetViews>
    <sheetView topLeftCell="A11" zoomScale="70" zoomScaleNormal="70" workbookViewId="0">
      <selection activeCell="B19" sqref="B19"/>
    </sheetView>
  </sheetViews>
  <sheetFormatPr defaultRowHeight="15" x14ac:dyDescent="0.25"/>
  <cols>
    <col min="1" max="1" width="3.5703125" style="2" customWidth="1"/>
    <col min="2" max="2" width="29.7109375" style="2" customWidth="1"/>
    <col min="3" max="7" width="11.140625" style="2" customWidth="1"/>
    <col min="8" max="8" width="11.140625" style="3" customWidth="1"/>
    <col min="9" max="9" width="10.140625" style="3" hidden="1" customWidth="1"/>
    <col min="10" max="10" width="1.85546875" style="2" customWidth="1"/>
    <col min="11" max="11" width="7.5703125" style="2" hidden="1" customWidth="1"/>
    <col min="12" max="12" width="10.42578125" style="2" customWidth="1"/>
    <col min="13" max="13" width="13.140625" style="2" customWidth="1"/>
    <col min="14" max="17" width="10.42578125" style="2" customWidth="1"/>
    <col min="18" max="18" width="17.28515625" style="2" customWidth="1"/>
    <col min="19" max="19" width="3.140625" style="2" customWidth="1"/>
    <col min="20" max="24" width="11.42578125" style="2" customWidth="1"/>
    <col min="25" max="25" width="15.28515625" style="2" customWidth="1"/>
    <col min="26" max="16384" width="9.140625" style="2"/>
  </cols>
  <sheetData>
    <row r="1" spans="1:25" x14ac:dyDescent="0.25">
      <c r="A1" s="104" t="s">
        <v>93</v>
      </c>
      <c r="U1" s="106" t="s">
        <v>96</v>
      </c>
    </row>
    <row r="2" spans="1:25" x14ac:dyDescent="0.25">
      <c r="A2" s="96" t="s">
        <v>94</v>
      </c>
      <c r="U2" s="107" t="s">
        <v>97</v>
      </c>
    </row>
    <row r="3" spans="1:25" x14ac:dyDescent="0.25">
      <c r="A3" s="105" t="s">
        <v>95</v>
      </c>
    </row>
    <row r="4" spans="1:25" ht="30" customHeight="1" x14ac:dyDescent="0.25">
      <c r="A4" s="144" t="s">
        <v>108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</row>
    <row r="5" spans="1:25" s="1" customFormat="1" ht="9" customHeight="1" x14ac:dyDescent="0.25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1:25" s="19" customFormat="1" ht="84.75" customHeight="1" x14ac:dyDescent="0.25">
      <c r="A6" s="46" t="s">
        <v>73</v>
      </c>
      <c r="B6" s="17" t="s">
        <v>1</v>
      </c>
      <c r="C6" s="17" t="s">
        <v>78</v>
      </c>
      <c r="D6" s="17" t="s">
        <v>79</v>
      </c>
      <c r="E6" s="17" t="s">
        <v>80</v>
      </c>
      <c r="F6" s="18" t="s">
        <v>81</v>
      </c>
      <c r="G6" s="18" t="s">
        <v>82</v>
      </c>
      <c r="H6" s="57" t="s">
        <v>2</v>
      </c>
      <c r="I6" s="72" t="s">
        <v>75</v>
      </c>
      <c r="J6" s="82"/>
      <c r="K6" s="79" t="s">
        <v>74</v>
      </c>
      <c r="L6" s="17" t="s">
        <v>78</v>
      </c>
      <c r="M6" s="71" t="s">
        <v>98</v>
      </c>
      <c r="N6" s="17" t="s">
        <v>80</v>
      </c>
      <c r="O6" s="18" t="s">
        <v>81</v>
      </c>
      <c r="P6" s="18" t="s">
        <v>82</v>
      </c>
      <c r="Q6" s="68" t="s">
        <v>2</v>
      </c>
      <c r="R6" s="100" t="s">
        <v>99</v>
      </c>
      <c r="S6" s="82"/>
      <c r="T6" s="17" t="s">
        <v>100</v>
      </c>
      <c r="U6" s="79" t="s">
        <v>101</v>
      </c>
      <c r="V6" s="17" t="s">
        <v>80</v>
      </c>
      <c r="W6" s="18" t="s">
        <v>81</v>
      </c>
      <c r="X6" s="18" t="s">
        <v>82</v>
      </c>
      <c r="Y6" s="57" t="s">
        <v>83</v>
      </c>
    </row>
    <row r="7" spans="1:25" s="19" customFormat="1" ht="28.5" customHeight="1" x14ac:dyDescent="0.25">
      <c r="A7" s="103" t="s">
        <v>102</v>
      </c>
      <c r="B7" s="17"/>
      <c r="C7" s="17"/>
      <c r="D7" s="17"/>
      <c r="E7" s="17"/>
      <c r="F7" s="18"/>
      <c r="G7" s="18"/>
      <c r="H7" s="57"/>
      <c r="I7" s="72"/>
      <c r="J7" s="82"/>
      <c r="K7" s="79"/>
      <c r="L7" s="103" t="s">
        <v>103</v>
      </c>
      <c r="M7" s="71"/>
      <c r="N7" s="17"/>
      <c r="O7" s="18"/>
      <c r="P7" s="18"/>
      <c r="Q7" s="68"/>
      <c r="R7" s="100"/>
      <c r="S7" s="82"/>
      <c r="T7" s="103" t="s">
        <v>104</v>
      </c>
      <c r="U7" s="79"/>
      <c r="V7" s="17"/>
      <c r="W7" s="18"/>
      <c r="X7" s="18"/>
      <c r="Y7" s="57"/>
    </row>
    <row r="8" spans="1:25" s="19" customFormat="1" ht="23.25" customHeight="1" x14ac:dyDescent="0.25">
      <c r="A8" s="45">
        <v>1</v>
      </c>
      <c r="B8" s="47" t="s">
        <v>48</v>
      </c>
      <c r="C8" s="45">
        <v>1875</v>
      </c>
      <c r="D8" s="45">
        <f>930+52</f>
        <v>982</v>
      </c>
      <c r="E8" s="48">
        <f t="shared" ref="E8:E16" si="0">ROUND(D8*100/C8,1)</f>
        <v>52.4</v>
      </c>
      <c r="F8" s="45">
        <f t="shared" ref="F8:F16" si="1">D8*0.4</f>
        <v>392.8</v>
      </c>
      <c r="G8" s="45">
        <v>270</v>
      </c>
      <c r="H8" s="58">
        <f>ROUND((F8-G8)/30,0)</f>
        <v>4</v>
      </c>
      <c r="I8" s="73" t="s">
        <v>19</v>
      </c>
      <c r="J8" s="82"/>
      <c r="K8" s="80">
        <f>930+52</f>
        <v>982</v>
      </c>
      <c r="L8" s="45">
        <v>1875</v>
      </c>
      <c r="M8" s="67">
        <f>K8+90</f>
        <v>1072</v>
      </c>
      <c r="N8" s="70">
        <f t="shared" ref="N8:N16" si="2">ROUND(M8*100/L8,1)</f>
        <v>57.2</v>
      </c>
      <c r="O8" s="45">
        <f t="shared" ref="O8:O16" si="3">M8*0.4</f>
        <v>428.8</v>
      </c>
      <c r="P8" s="45">
        <v>270</v>
      </c>
      <c r="Q8" s="67">
        <v>6</v>
      </c>
      <c r="R8" s="101">
        <f>Q8-Y8</f>
        <v>4</v>
      </c>
      <c r="S8" s="82"/>
      <c r="T8" s="49">
        <f>780+38</f>
        <v>818</v>
      </c>
      <c r="U8" s="99">
        <v>1395</v>
      </c>
      <c r="V8" s="48">
        <f t="shared" ref="V8:V16" si="4">ROUND(T8*100/U8,1)</f>
        <v>58.6</v>
      </c>
      <c r="W8" s="45">
        <f t="shared" ref="W8:W16" si="5">T8*0.4</f>
        <v>327.20000000000005</v>
      </c>
      <c r="X8" s="45">
        <v>270</v>
      </c>
      <c r="Y8" s="58">
        <v>2</v>
      </c>
    </row>
    <row r="9" spans="1:25" s="19" customFormat="1" ht="23.25" customHeight="1" x14ac:dyDescent="0.25">
      <c r="A9" s="45">
        <v>2</v>
      </c>
      <c r="B9" s="47" t="s">
        <v>49</v>
      </c>
      <c r="C9" s="45">
        <v>1995</v>
      </c>
      <c r="D9" s="45">
        <f>1170+44</f>
        <v>1214</v>
      </c>
      <c r="E9" s="45">
        <f t="shared" si="0"/>
        <v>60.9</v>
      </c>
      <c r="F9" s="45">
        <f t="shared" si="1"/>
        <v>485.6</v>
      </c>
      <c r="G9" s="45">
        <v>270</v>
      </c>
      <c r="H9" s="58">
        <f t="shared" ref="H9:H34" si="6">ROUND((F9-G9)/30,0)</f>
        <v>7</v>
      </c>
      <c r="I9" s="73" t="s">
        <v>3</v>
      </c>
      <c r="J9" s="82"/>
      <c r="K9" s="80">
        <f>1170+44</f>
        <v>1214</v>
      </c>
      <c r="L9" s="45">
        <v>1995</v>
      </c>
      <c r="M9" s="67">
        <f t="shared" ref="M9:M34" si="7">K9+90</f>
        <v>1304</v>
      </c>
      <c r="N9" s="45">
        <f t="shared" si="2"/>
        <v>65.400000000000006</v>
      </c>
      <c r="O9" s="45">
        <f t="shared" si="3"/>
        <v>521.6</v>
      </c>
      <c r="P9" s="45">
        <v>270</v>
      </c>
      <c r="Q9" s="67">
        <v>9</v>
      </c>
      <c r="R9" s="101">
        <f t="shared" ref="R9:R34" si="8">Q9-Y9</f>
        <v>4</v>
      </c>
      <c r="S9" s="82"/>
      <c r="T9" s="45">
        <f>1020+30</f>
        <v>1050</v>
      </c>
      <c r="U9" s="80">
        <v>1515</v>
      </c>
      <c r="V9" s="45">
        <f t="shared" si="4"/>
        <v>69.3</v>
      </c>
      <c r="W9" s="45">
        <f t="shared" si="5"/>
        <v>420</v>
      </c>
      <c r="X9" s="45">
        <v>270</v>
      </c>
      <c r="Y9" s="58">
        <f t="shared" ref="Y9:Y12" si="9">(W9-X9)/30</f>
        <v>5</v>
      </c>
    </row>
    <row r="10" spans="1:25" s="19" customFormat="1" ht="23.25" customHeight="1" x14ac:dyDescent="0.25">
      <c r="A10" s="45">
        <v>3</v>
      </c>
      <c r="B10" s="47" t="s">
        <v>50</v>
      </c>
      <c r="C10" s="45">
        <v>1995</v>
      </c>
      <c r="D10" s="45">
        <f>1170+44</f>
        <v>1214</v>
      </c>
      <c r="E10" s="45">
        <f t="shared" si="0"/>
        <v>60.9</v>
      </c>
      <c r="F10" s="45">
        <f t="shared" si="1"/>
        <v>485.6</v>
      </c>
      <c r="G10" s="45">
        <v>270</v>
      </c>
      <c r="H10" s="58">
        <f t="shared" si="6"/>
        <v>7</v>
      </c>
      <c r="I10" s="73" t="s">
        <v>3</v>
      </c>
      <c r="J10" s="82"/>
      <c r="K10" s="80">
        <f>1170+44</f>
        <v>1214</v>
      </c>
      <c r="L10" s="45">
        <v>1995</v>
      </c>
      <c r="M10" s="67">
        <f t="shared" si="7"/>
        <v>1304</v>
      </c>
      <c r="N10" s="45">
        <f t="shared" si="2"/>
        <v>65.400000000000006</v>
      </c>
      <c r="O10" s="45">
        <f t="shared" si="3"/>
        <v>521.6</v>
      </c>
      <c r="P10" s="45">
        <v>270</v>
      </c>
      <c r="Q10" s="67">
        <v>9</v>
      </c>
      <c r="R10" s="101">
        <f t="shared" si="8"/>
        <v>4</v>
      </c>
      <c r="S10" s="82"/>
      <c r="T10" s="49">
        <f>1020+30</f>
        <v>1050</v>
      </c>
      <c r="U10" s="99">
        <v>1515</v>
      </c>
      <c r="V10" s="45">
        <f t="shared" si="4"/>
        <v>69.3</v>
      </c>
      <c r="W10" s="45">
        <f t="shared" si="5"/>
        <v>420</v>
      </c>
      <c r="X10" s="45">
        <v>270</v>
      </c>
      <c r="Y10" s="58">
        <f t="shared" si="9"/>
        <v>5</v>
      </c>
    </row>
    <row r="11" spans="1:25" s="19" customFormat="1" ht="23.25" customHeight="1" x14ac:dyDescent="0.25">
      <c r="A11" s="45">
        <v>4</v>
      </c>
      <c r="B11" s="47" t="s">
        <v>51</v>
      </c>
      <c r="C11" s="45">
        <v>1995</v>
      </c>
      <c r="D11" s="45">
        <f>1170+44</f>
        <v>1214</v>
      </c>
      <c r="E11" s="45">
        <f t="shared" si="0"/>
        <v>60.9</v>
      </c>
      <c r="F11" s="45">
        <f t="shared" si="1"/>
        <v>485.6</v>
      </c>
      <c r="G11" s="45">
        <v>270</v>
      </c>
      <c r="H11" s="58">
        <f t="shared" si="6"/>
        <v>7</v>
      </c>
      <c r="I11" s="73" t="s">
        <v>3</v>
      </c>
      <c r="J11" s="82"/>
      <c r="K11" s="80">
        <f>1170+44</f>
        <v>1214</v>
      </c>
      <c r="L11" s="45">
        <v>1995</v>
      </c>
      <c r="M11" s="67">
        <f t="shared" si="7"/>
        <v>1304</v>
      </c>
      <c r="N11" s="45">
        <f t="shared" si="2"/>
        <v>65.400000000000006</v>
      </c>
      <c r="O11" s="45">
        <f t="shared" si="3"/>
        <v>521.6</v>
      </c>
      <c r="P11" s="45">
        <v>270</v>
      </c>
      <c r="Q11" s="67">
        <v>9</v>
      </c>
      <c r="R11" s="101">
        <f t="shared" si="8"/>
        <v>4</v>
      </c>
      <c r="S11" s="82"/>
      <c r="T11" s="45">
        <f>1020+30</f>
        <v>1050</v>
      </c>
      <c r="U11" s="80">
        <v>1515</v>
      </c>
      <c r="V11" s="45">
        <f t="shared" si="4"/>
        <v>69.3</v>
      </c>
      <c r="W11" s="45">
        <f t="shared" si="5"/>
        <v>420</v>
      </c>
      <c r="X11" s="45">
        <v>270</v>
      </c>
      <c r="Y11" s="58">
        <f t="shared" si="9"/>
        <v>5</v>
      </c>
    </row>
    <row r="12" spans="1:25" s="19" customFormat="1" ht="23.25" customHeight="1" x14ac:dyDescent="0.25">
      <c r="A12" s="45">
        <v>5</v>
      </c>
      <c r="B12" s="47" t="s">
        <v>52</v>
      </c>
      <c r="C12" s="45">
        <v>1995</v>
      </c>
      <c r="D12" s="45">
        <f>1170+44</f>
        <v>1214</v>
      </c>
      <c r="E12" s="45">
        <f t="shared" si="0"/>
        <v>60.9</v>
      </c>
      <c r="F12" s="45">
        <f t="shared" si="1"/>
        <v>485.6</v>
      </c>
      <c r="G12" s="45">
        <v>270</v>
      </c>
      <c r="H12" s="58">
        <f t="shared" si="6"/>
        <v>7</v>
      </c>
      <c r="I12" s="73" t="s">
        <v>3</v>
      </c>
      <c r="J12" s="82"/>
      <c r="K12" s="80">
        <f>1170+44</f>
        <v>1214</v>
      </c>
      <c r="L12" s="45">
        <v>1995</v>
      </c>
      <c r="M12" s="67">
        <f t="shared" si="7"/>
        <v>1304</v>
      </c>
      <c r="N12" s="45">
        <f t="shared" si="2"/>
        <v>65.400000000000006</v>
      </c>
      <c r="O12" s="45">
        <f t="shared" si="3"/>
        <v>521.6</v>
      </c>
      <c r="P12" s="45">
        <v>270</v>
      </c>
      <c r="Q12" s="67">
        <v>9</v>
      </c>
      <c r="R12" s="101">
        <f t="shared" si="8"/>
        <v>4</v>
      </c>
      <c r="S12" s="82"/>
      <c r="T12" s="45">
        <f>1020+30</f>
        <v>1050</v>
      </c>
      <c r="U12" s="80">
        <v>1515</v>
      </c>
      <c r="V12" s="45">
        <f t="shared" si="4"/>
        <v>69.3</v>
      </c>
      <c r="W12" s="45">
        <f t="shared" si="5"/>
        <v>420</v>
      </c>
      <c r="X12" s="45">
        <v>270</v>
      </c>
      <c r="Y12" s="58">
        <f t="shared" si="9"/>
        <v>5</v>
      </c>
    </row>
    <row r="13" spans="1:25" s="19" customFormat="1" ht="23.25" customHeight="1" x14ac:dyDescent="0.25">
      <c r="A13" s="45">
        <v>6</v>
      </c>
      <c r="B13" s="47" t="s">
        <v>53</v>
      </c>
      <c r="C13" s="45">
        <v>1935</v>
      </c>
      <c r="D13" s="45">
        <f>1050+46</f>
        <v>1096</v>
      </c>
      <c r="E13" s="50">
        <f t="shared" si="0"/>
        <v>56.6</v>
      </c>
      <c r="F13" s="45">
        <f t="shared" si="1"/>
        <v>438.40000000000003</v>
      </c>
      <c r="G13" s="45">
        <v>270</v>
      </c>
      <c r="H13" s="58">
        <f t="shared" si="6"/>
        <v>6</v>
      </c>
      <c r="I13" s="73" t="s">
        <v>4</v>
      </c>
      <c r="J13" s="82"/>
      <c r="K13" s="80">
        <f>1050+46</f>
        <v>1096</v>
      </c>
      <c r="L13" s="45">
        <v>1935</v>
      </c>
      <c r="M13" s="67">
        <f t="shared" si="7"/>
        <v>1186</v>
      </c>
      <c r="N13" s="45">
        <f t="shared" si="2"/>
        <v>61.3</v>
      </c>
      <c r="O13" s="45">
        <f t="shared" si="3"/>
        <v>474.40000000000003</v>
      </c>
      <c r="P13" s="45">
        <v>270</v>
      </c>
      <c r="Q13" s="67">
        <v>7</v>
      </c>
      <c r="R13" s="101">
        <f t="shared" si="8"/>
        <v>3</v>
      </c>
      <c r="S13" s="82"/>
      <c r="T13" s="45">
        <f>932</f>
        <v>932</v>
      </c>
      <c r="U13" s="80">
        <v>1455</v>
      </c>
      <c r="V13" s="45">
        <f t="shared" si="4"/>
        <v>64.099999999999994</v>
      </c>
      <c r="W13" s="45">
        <f t="shared" si="5"/>
        <v>372.8</v>
      </c>
      <c r="X13" s="45">
        <v>270</v>
      </c>
      <c r="Y13" s="58">
        <v>4</v>
      </c>
    </row>
    <row r="14" spans="1:25" s="19" customFormat="1" ht="23.25" customHeight="1" x14ac:dyDescent="0.25">
      <c r="A14" s="45">
        <v>7</v>
      </c>
      <c r="B14" s="47" t="s">
        <v>54</v>
      </c>
      <c r="C14" s="45">
        <v>1890</v>
      </c>
      <c r="D14" s="45">
        <f>1140+44</f>
        <v>1184</v>
      </c>
      <c r="E14" s="49">
        <f t="shared" si="0"/>
        <v>62.6</v>
      </c>
      <c r="F14" s="45">
        <f t="shared" si="1"/>
        <v>473.6</v>
      </c>
      <c r="G14" s="45">
        <v>270</v>
      </c>
      <c r="H14" s="58">
        <f t="shared" si="6"/>
        <v>7</v>
      </c>
      <c r="I14" s="73" t="s">
        <v>5</v>
      </c>
      <c r="J14" s="82"/>
      <c r="K14" s="80">
        <f>1140+44</f>
        <v>1184</v>
      </c>
      <c r="L14" s="45">
        <v>1890</v>
      </c>
      <c r="M14" s="67">
        <f t="shared" si="7"/>
        <v>1274</v>
      </c>
      <c r="N14" s="45">
        <f t="shared" si="2"/>
        <v>67.400000000000006</v>
      </c>
      <c r="O14" s="45">
        <f t="shared" si="3"/>
        <v>509.6</v>
      </c>
      <c r="P14" s="45">
        <v>270</v>
      </c>
      <c r="Q14" s="67">
        <v>8</v>
      </c>
      <c r="R14" s="101">
        <f t="shared" si="8"/>
        <v>3</v>
      </c>
      <c r="S14" s="82"/>
      <c r="T14" s="45">
        <f>990+30</f>
        <v>1020</v>
      </c>
      <c r="U14" s="80">
        <v>1500</v>
      </c>
      <c r="V14" s="45">
        <f t="shared" si="4"/>
        <v>68</v>
      </c>
      <c r="W14" s="45">
        <f t="shared" si="5"/>
        <v>408</v>
      </c>
      <c r="X14" s="45">
        <v>270</v>
      </c>
      <c r="Y14" s="58">
        <v>5</v>
      </c>
    </row>
    <row r="15" spans="1:25" s="19" customFormat="1" ht="23.25" customHeight="1" x14ac:dyDescent="0.25">
      <c r="A15" s="45">
        <v>8</v>
      </c>
      <c r="B15" s="47" t="s">
        <v>55</v>
      </c>
      <c r="C15" s="45">
        <v>1980</v>
      </c>
      <c r="D15" s="45">
        <f>1140+44</f>
        <v>1184</v>
      </c>
      <c r="E15" s="50">
        <f t="shared" si="0"/>
        <v>59.8</v>
      </c>
      <c r="F15" s="45">
        <f t="shared" si="1"/>
        <v>473.6</v>
      </c>
      <c r="G15" s="45">
        <v>270</v>
      </c>
      <c r="H15" s="58">
        <f t="shared" si="6"/>
        <v>7</v>
      </c>
      <c r="I15" s="73" t="s">
        <v>5</v>
      </c>
      <c r="J15" s="82"/>
      <c r="K15" s="80">
        <f>1140+44</f>
        <v>1184</v>
      </c>
      <c r="L15" s="45">
        <v>1980</v>
      </c>
      <c r="M15" s="67">
        <f t="shared" si="7"/>
        <v>1274</v>
      </c>
      <c r="N15" s="45">
        <f t="shared" si="2"/>
        <v>64.3</v>
      </c>
      <c r="O15" s="45">
        <f t="shared" si="3"/>
        <v>509.6</v>
      </c>
      <c r="P15" s="45">
        <v>270</v>
      </c>
      <c r="Q15" s="67">
        <v>8</v>
      </c>
      <c r="R15" s="101">
        <f t="shared" si="8"/>
        <v>3</v>
      </c>
      <c r="S15" s="82"/>
      <c r="T15" s="45">
        <f>990+30</f>
        <v>1020</v>
      </c>
      <c r="U15" s="80">
        <v>1500</v>
      </c>
      <c r="V15" s="45">
        <f t="shared" si="4"/>
        <v>68</v>
      </c>
      <c r="W15" s="45">
        <f t="shared" si="5"/>
        <v>408</v>
      </c>
      <c r="X15" s="45">
        <v>270</v>
      </c>
      <c r="Y15" s="58">
        <v>5</v>
      </c>
    </row>
    <row r="16" spans="1:25" s="19" customFormat="1" ht="23.25" customHeight="1" x14ac:dyDescent="0.25">
      <c r="A16" s="45">
        <v>9</v>
      </c>
      <c r="B16" s="47" t="s">
        <v>76</v>
      </c>
      <c r="C16" s="45">
        <v>1980</v>
      </c>
      <c r="D16" s="45">
        <f>1140+42</f>
        <v>1182</v>
      </c>
      <c r="E16" s="50">
        <f t="shared" si="0"/>
        <v>59.7</v>
      </c>
      <c r="F16" s="45">
        <f t="shared" si="1"/>
        <v>472.8</v>
      </c>
      <c r="G16" s="45">
        <v>270</v>
      </c>
      <c r="H16" s="58">
        <f t="shared" si="6"/>
        <v>7</v>
      </c>
      <c r="I16" s="73" t="s">
        <v>7</v>
      </c>
      <c r="J16" s="82"/>
      <c r="K16" s="80">
        <f>1140+42</f>
        <v>1182</v>
      </c>
      <c r="L16" s="45">
        <v>1980</v>
      </c>
      <c r="M16" s="67">
        <f t="shared" si="7"/>
        <v>1272</v>
      </c>
      <c r="N16" s="45">
        <f t="shared" si="2"/>
        <v>64.2</v>
      </c>
      <c r="O16" s="45">
        <f t="shared" si="3"/>
        <v>508.8</v>
      </c>
      <c r="P16" s="45">
        <v>270</v>
      </c>
      <c r="Q16" s="67">
        <v>8</v>
      </c>
      <c r="R16" s="101">
        <f t="shared" si="8"/>
        <v>3</v>
      </c>
      <c r="S16" s="82"/>
      <c r="T16" s="45">
        <f>990+28</f>
        <v>1018</v>
      </c>
      <c r="U16" s="80">
        <v>1500</v>
      </c>
      <c r="V16" s="45">
        <f t="shared" si="4"/>
        <v>67.900000000000006</v>
      </c>
      <c r="W16" s="45">
        <f t="shared" si="5"/>
        <v>407.20000000000005</v>
      </c>
      <c r="X16" s="45">
        <v>270</v>
      </c>
      <c r="Y16" s="58">
        <v>5</v>
      </c>
    </row>
    <row r="17" spans="1:25" s="19" customFormat="1" ht="23.25" customHeight="1" x14ac:dyDescent="0.25">
      <c r="A17" s="45">
        <v>10</v>
      </c>
      <c r="B17" s="47" t="s">
        <v>56</v>
      </c>
      <c r="C17" s="45"/>
      <c r="D17" s="45"/>
      <c r="E17" s="49"/>
      <c r="F17" s="45"/>
      <c r="G17" s="45"/>
      <c r="H17" s="58"/>
      <c r="I17" s="74"/>
      <c r="J17" s="82"/>
      <c r="K17" s="80"/>
      <c r="L17" s="45"/>
      <c r="M17" s="67"/>
      <c r="N17" s="45"/>
      <c r="O17" s="45"/>
      <c r="P17" s="45"/>
      <c r="Q17" s="67"/>
      <c r="R17" s="101"/>
      <c r="S17" s="82"/>
      <c r="T17" s="45"/>
      <c r="U17" s="80"/>
      <c r="V17" s="45"/>
      <c r="W17" s="45"/>
      <c r="X17" s="45"/>
      <c r="Y17" s="58"/>
    </row>
    <row r="18" spans="1:25" s="19" customFormat="1" ht="23.25" customHeight="1" x14ac:dyDescent="0.25">
      <c r="A18" s="45">
        <v>11</v>
      </c>
      <c r="B18" s="47" t="s">
        <v>112</v>
      </c>
      <c r="C18" s="45">
        <v>2010</v>
      </c>
      <c r="D18" s="45">
        <f>1240</f>
        <v>1240</v>
      </c>
      <c r="E18" s="45">
        <f t="shared" ref="E18:E25" si="10">ROUND(D18*100/C18,1)</f>
        <v>61.7</v>
      </c>
      <c r="F18" s="45">
        <f t="shared" ref="F18:F25" si="11">D18*0.4</f>
        <v>496</v>
      </c>
      <c r="G18" s="45">
        <v>270</v>
      </c>
      <c r="H18" s="58">
        <f t="shared" si="6"/>
        <v>8</v>
      </c>
      <c r="I18" s="73" t="s">
        <v>7</v>
      </c>
      <c r="J18" s="82"/>
      <c r="K18" s="80">
        <f>1240</f>
        <v>1240</v>
      </c>
      <c r="L18" s="45">
        <v>2010</v>
      </c>
      <c r="M18" s="67">
        <f t="shared" si="7"/>
        <v>1330</v>
      </c>
      <c r="N18" s="45">
        <f t="shared" ref="N18:N25" si="12">ROUND(M18*100/L18,1)</f>
        <v>66.2</v>
      </c>
      <c r="O18" s="45">
        <f t="shared" ref="O18:O25" si="13">M18*0.4</f>
        <v>532</v>
      </c>
      <c r="P18" s="45">
        <v>270</v>
      </c>
      <c r="Q18" s="67">
        <v>9</v>
      </c>
      <c r="R18" s="101">
        <f t="shared" si="8"/>
        <v>3</v>
      </c>
      <c r="S18" s="82"/>
      <c r="T18" s="45">
        <f>1050+26</f>
        <v>1076</v>
      </c>
      <c r="U18" s="80">
        <v>1530</v>
      </c>
      <c r="V18" s="45">
        <f t="shared" ref="V18:V25" si="14">ROUND(T18*100/U18,1)</f>
        <v>70.3</v>
      </c>
      <c r="W18" s="45">
        <f t="shared" ref="W18:W25" si="15">T18*0.4</f>
        <v>430.40000000000003</v>
      </c>
      <c r="X18" s="45">
        <v>270</v>
      </c>
      <c r="Y18" s="58">
        <v>6</v>
      </c>
    </row>
    <row r="19" spans="1:25" s="19" customFormat="1" ht="23.25" customHeight="1" x14ac:dyDescent="0.25">
      <c r="A19" s="45">
        <v>12</v>
      </c>
      <c r="B19" s="47" t="s">
        <v>57</v>
      </c>
      <c r="C19" s="45">
        <v>2010</v>
      </c>
      <c r="D19" s="45">
        <v>1240</v>
      </c>
      <c r="E19" s="45">
        <f t="shared" si="10"/>
        <v>61.7</v>
      </c>
      <c r="F19" s="45">
        <f t="shared" si="11"/>
        <v>496</v>
      </c>
      <c r="G19" s="45">
        <v>270</v>
      </c>
      <c r="H19" s="58">
        <f t="shared" si="6"/>
        <v>8</v>
      </c>
      <c r="I19" s="73" t="s">
        <v>7</v>
      </c>
      <c r="J19" s="82"/>
      <c r="K19" s="80">
        <v>1240</v>
      </c>
      <c r="L19" s="45">
        <v>2010</v>
      </c>
      <c r="M19" s="67">
        <f t="shared" si="7"/>
        <v>1330</v>
      </c>
      <c r="N19" s="45">
        <f t="shared" si="12"/>
        <v>66.2</v>
      </c>
      <c r="O19" s="45">
        <f t="shared" si="13"/>
        <v>532</v>
      </c>
      <c r="P19" s="45">
        <v>270</v>
      </c>
      <c r="Q19" s="67">
        <v>9</v>
      </c>
      <c r="R19" s="101">
        <f t="shared" si="8"/>
        <v>3</v>
      </c>
      <c r="S19" s="82"/>
      <c r="T19" s="45">
        <f>1050+26</f>
        <v>1076</v>
      </c>
      <c r="U19" s="80">
        <v>1530</v>
      </c>
      <c r="V19" s="45">
        <f t="shared" si="14"/>
        <v>70.3</v>
      </c>
      <c r="W19" s="45">
        <f t="shared" si="15"/>
        <v>430.40000000000003</v>
      </c>
      <c r="X19" s="45">
        <v>270</v>
      </c>
      <c r="Y19" s="58">
        <v>6</v>
      </c>
    </row>
    <row r="20" spans="1:25" s="19" customFormat="1" ht="23.25" customHeight="1" x14ac:dyDescent="0.25">
      <c r="A20" s="45">
        <v>13</v>
      </c>
      <c r="B20" s="47" t="s">
        <v>58</v>
      </c>
      <c r="C20" s="45">
        <v>1980</v>
      </c>
      <c r="D20" s="45">
        <f>1125+46</f>
        <v>1171</v>
      </c>
      <c r="E20" s="50">
        <f t="shared" si="10"/>
        <v>59.1</v>
      </c>
      <c r="F20" s="45">
        <f t="shared" si="11"/>
        <v>468.40000000000003</v>
      </c>
      <c r="G20" s="45">
        <v>270</v>
      </c>
      <c r="H20" s="58">
        <f t="shared" si="6"/>
        <v>7</v>
      </c>
      <c r="I20" s="73" t="s">
        <v>6</v>
      </c>
      <c r="J20" s="82"/>
      <c r="K20" s="80">
        <f>1125+46</f>
        <v>1171</v>
      </c>
      <c r="L20" s="45">
        <v>1980</v>
      </c>
      <c r="M20" s="67">
        <f t="shared" si="7"/>
        <v>1261</v>
      </c>
      <c r="N20" s="45">
        <f t="shared" si="12"/>
        <v>63.7</v>
      </c>
      <c r="O20" s="45">
        <f t="shared" si="13"/>
        <v>504.40000000000003</v>
      </c>
      <c r="P20" s="45">
        <v>270</v>
      </c>
      <c r="Q20" s="67">
        <v>8</v>
      </c>
      <c r="R20" s="101">
        <f t="shared" si="8"/>
        <v>3</v>
      </c>
      <c r="S20" s="82"/>
      <c r="T20" s="45">
        <f>975+32</f>
        <v>1007</v>
      </c>
      <c r="U20" s="80">
        <v>1500</v>
      </c>
      <c r="V20" s="45">
        <f t="shared" si="14"/>
        <v>67.099999999999994</v>
      </c>
      <c r="W20" s="45">
        <f t="shared" si="15"/>
        <v>402.8</v>
      </c>
      <c r="X20" s="45">
        <v>270</v>
      </c>
      <c r="Y20" s="58">
        <v>5</v>
      </c>
    </row>
    <row r="21" spans="1:25" s="19" customFormat="1" ht="23.25" customHeight="1" x14ac:dyDescent="0.25">
      <c r="A21" s="45">
        <v>14</v>
      </c>
      <c r="B21" s="47" t="s">
        <v>59</v>
      </c>
      <c r="C21" s="45">
        <v>1980</v>
      </c>
      <c r="D21" s="45">
        <f>1140+40</f>
        <v>1180</v>
      </c>
      <c r="E21" s="50">
        <f t="shared" si="10"/>
        <v>59.6</v>
      </c>
      <c r="F21" s="45">
        <f t="shared" si="11"/>
        <v>472</v>
      </c>
      <c r="G21" s="45">
        <v>270</v>
      </c>
      <c r="H21" s="58">
        <f t="shared" si="6"/>
        <v>7</v>
      </c>
      <c r="I21" s="73" t="s">
        <v>8</v>
      </c>
      <c r="J21" s="82"/>
      <c r="K21" s="80">
        <f>1140+40</f>
        <v>1180</v>
      </c>
      <c r="L21" s="45">
        <v>1980</v>
      </c>
      <c r="M21" s="67">
        <f t="shared" si="7"/>
        <v>1270</v>
      </c>
      <c r="N21" s="45">
        <f t="shared" si="12"/>
        <v>64.099999999999994</v>
      </c>
      <c r="O21" s="45">
        <f t="shared" si="13"/>
        <v>508</v>
      </c>
      <c r="P21" s="45">
        <v>270</v>
      </c>
      <c r="Q21" s="67">
        <v>8</v>
      </c>
      <c r="R21" s="101">
        <f t="shared" si="8"/>
        <v>3</v>
      </c>
      <c r="S21" s="82"/>
      <c r="T21" s="45">
        <f>990+26</f>
        <v>1016</v>
      </c>
      <c r="U21" s="80">
        <v>1500</v>
      </c>
      <c r="V21" s="45">
        <f t="shared" si="14"/>
        <v>67.7</v>
      </c>
      <c r="W21" s="45">
        <f t="shared" si="15"/>
        <v>406.40000000000003</v>
      </c>
      <c r="X21" s="45">
        <v>270</v>
      </c>
      <c r="Y21" s="58">
        <v>5</v>
      </c>
    </row>
    <row r="22" spans="1:25" s="19" customFormat="1" ht="36" customHeight="1" x14ac:dyDescent="0.25">
      <c r="A22" s="45">
        <v>15</v>
      </c>
      <c r="B22" s="47" t="s">
        <v>60</v>
      </c>
      <c r="C22" s="45">
        <v>2010</v>
      </c>
      <c r="D22" s="45">
        <f>1248</f>
        <v>1248</v>
      </c>
      <c r="E22" s="45">
        <f t="shared" si="10"/>
        <v>62.1</v>
      </c>
      <c r="F22" s="45">
        <f t="shared" si="11"/>
        <v>499.20000000000005</v>
      </c>
      <c r="G22" s="45">
        <v>270</v>
      </c>
      <c r="H22" s="59">
        <f t="shared" si="6"/>
        <v>8</v>
      </c>
      <c r="I22" s="75" t="s">
        <v>12</v>
      </c>
      <c r="J22" s="82"/>
      <c r="K22" s="80">
        <f>1248</f>
        <v>1248</v>
      </c>
      <c r="L22" s="45">
        <v>2010</v>
      </c>
      <c r="M22" s="67">
        <f t="shared" si="7"/>
        <v>1338</v>
      </c>
      <c r="N22" s="45">
        <f t="shared" si="12"/>
        <v>66.599999999999994</v>
      </c>
      <c r="O22" s="45">
        <f t="shared" si="13"/>
        <v>535.20000000000005</v>
      </c>
      <c r="P22" s="45">
        <v>270</v>
      </c>
      <c r="Q22" s="67">
        <v>9</v>
      </c>
      <c r="R22" s="101">
        <f t="shared" si="8"/>
        <v>3</v>
      </c>
      <c r="S22" s="82"/>
      <c r="T22" s="45">
        <f>1050+34</f>
        <v>1084</v>
      </c>
      <c r="U22" s="80">
        <v>1530</v>
      </c>
      <c r="V22" s="45">
        <f t="shared" si="14"/>
        <v>70.8</v>
      </c>
      <c r="W22" s="45">
        <f t="shared" si="15"/>
        <v>433.6</v>
      </c>
      <c r="X22" s="45">
        <v>270</v>
      </c>
      <c r="Y22" s="58">
        <v>6</v>
      </c>
    </row>
    <row r="23" spans="1:25" s="19" customFormat="1" ht="36" customHeight="1" x14ac:dyDescent="0.25">
      <c r="A23" s="45">
        <v>16</v>
      </c>
      <c r="B23" s="47" t="s">
        <v>61</v>
      </c>
      <c r="C23" s="45">
        <v>1995</v>
      </c>
      <c r="D23" s="45">
        <f>1170+52</f>
        <v>1222</v>
      </c>
      <c r="E23" s="45">
        <f t="shared" si="10"/>
        <v>61.3</v>
      </c>
      <c r="F23" s="45">
        <f t="shared" si="11"/>
        <v>488.8</v>
      </c>
      <c r="G23" s="45">
        <v>270</v>
      </c>
      <c r="H23" s="58">
        <f>ROUND((F23-G23)/30,0)</f>
        <v>7</v>
      </c>
      <c r="I23" s="76" t="s">
        <v>9</v>
      </c>
      <c r="J23" s="82"/>
      <c r="K23" s="80">
        <f>1170+52</f>
        <v>1222</v>
      </c>
      <c r="L23" s="45">
        <v>1995</v>
      </c>
      <c r="M23" s="67">
        <f t="shared" si="7"/>
        <v>1312</v>
      </c>
      <c r="N23" s="45">
        <f t="shared" si="12"/>
        <v>65.8</v>
      </c>
      <c r="O23" s="45">
        <f t="shared" si="13"/>
        <v>524.80000000000007</v>
      </c>
      <c r="P23" s="45">
        <v>270</v>
      </c>
      <c r="Q23" s="67">
        <v>9</v>
      </c>
      <c r="R23" s="101">
        <f t="shared" si="8"/>
        <v>3</v>
      </c>
      <c r="S23" s="82"/>
      <c r="T23" s="45">
        <f>1020+38</f>
        <v>1058</v>
      </c>
      <c r="U23" s="80">
        <v>1515</v>
      </c>
      <c r="V23" s="45">
        <f t="shared" si="14"/>
        <v>69.8</v>
      </c>
      <c r="W23" s="45">
        <f t="shared" si="15"/>
        <v>423.20000000000005</v>
      </c>
      <c r="X23" s="45">
        <v>270</v>
      </c>
      <c r="Y23" s="58">
        <v>6</v>
      </c>
    </row>
    <row r="24" spans="1:25" s="19" customFormat="1" ht="36" customHeight="1" x14ac:dyDescent="0.25">
      <c r="A24" s="45">
        <v>17</v>
      </c>
      <c r="B24" s="47" t="s">
        <v>62</v>
      </c>
      <c r="C24" s="45">
        <v>1995</v>
      </c>
      <c r="D24" s="45">
        <f>1170+52</f>
        <v>1222</v>
      </c>
      <c r="E24" s="45">
        <f t="shared" si="10"/>
        <v>61.3</v>
      </c>
      <c r="F24" s="45">
        <f t="shared" si="11"/>
        <v>488.8</v>
      </c>
      <c r="G24" s="45">
        <v>270</v>
      </c>
      <c r="H24" s="59">
        <f t="shared" si="6"/>
        <v>7</v>
      </c>
      <c r="I24" s="75" t="s">
        <v>14</v>
      </c>
      <c r="J24" s="82"/>
      <c r="K24" s="80">
        <f>1170+52</f>
        <v>1222</v>
      </c>
      <c r="L24" s="45">
        <v>1995</v>
      </c>
      <c r="M24" s="67">
        <f t="shared" si="7"/>
        <v>1312</v>
      </c>
      <c r="N24" s="45">
        <f t="shared" si="12"/>
        <v>65.8</v>
      </c>
      <c r="O24" s="45">
        <f t="shared" si="13"/>
        <v>524.80000000000007</v>
      </c>
      <c r="P24" s="45">
        <v>270</v>
      </c>
      <c r="Q24" s="67">
        <v>9</v>
      </c>
      <c r="R24" s="101">
        <f t="shared" si="8"/>
        <v>3</v>
      </c>
      <c r="S24" s="82"/>
      <c r="T24" s="45">
        <f>1020+38</f>
        <v>1058</v>
      </c>
      <c r="U24" s="80">
        <v>1515</v>
      </c>
      <c r="V24" s="45">
        <f t="shared" si="14"/>
        <v>69.8</v>
      </c>
      <c r="W24" s="45">
        <f t="shared" si="15"/>
        <v>423.20000000000005</v>
      </c>
      <c r="X24" s="45">
        <v>270</v>
      </c>
      <c r="Y24" s="58">
        <v>6</v>
      </c>
    </row>
    <row r="25" spans="1:25" s="19" customFormat="1" ht="36" customHeight="1" x14ac:dyDescent="0.25">
      <c r="A25" s="45">
        <v>18</v>
      </c>
      <c r="B25" s="47" t="s">
        <v>63</v>
      </c>
      <c r="C25" s="45">
        <v>2025</v>
      </c>
      <c r="D25" s="45">
        <f>1230+54</f>
        <v>1284</v>
      </c>
      <c r="E25" s="45">
        <f t="shared" si="10"/>
        <v>63.4</v>
      </c>
      <c r="F25" s="45">
        <f t="shared" si="11"/>
        <v>513.6</v>
      </c>
      <c r="G25" s="45">
        <v>270</v>
      </c>
      <c r="H25" s="59">
        <f t="shared" si="6"/>
        <v>8</v>
      </c>
      <c r="I25" s="75" t="s">
        <v>11</v>
      </c>
      <c r="J25" s="82"/>
      <c r="K25" s="80">
        <f>1230+54</f>
        <v>1284</v>
      </c>
      <c r="L25" s="45">
        <v>2025</v>
      </c>
      <c r="M25" s="67">
        <f t="shared" si="7"/>
        <v>1374</v>
      </c>
      <c r="N25" s="45">
        <f t="shared" si="12"/>
        <v>67.900000000000006</v>
      </c>
      <c r="O25" s="45">
        <f t="shared" si="13"/>
        <v>549.6</v>
      </c>
      <c r="P25" s="45">
        <v>270</v>
      </c>
      <c r="Q25" s="67">
        <v>10</v>
      </c>
      <c r="R25" s="101">
        <f t="shared" si="8"/>
        <v>4</v>
      </c>
      <c r="S25" s="82"/>
      <c r="T25" s="45">
        <f>1080+40</f>
        <v>1120</v>
      </c>
      <c r="U25" s="80">
        <v>1545</v>
      </c>
      <c r="V25" s="45">
        <f t="shared" si="14"/>
        <v>72.5</v>
      </c>
      <c r="W25" s="45">
        <f t="shared" si="15"/>
        <v>448</v>
      </c>
      <c r="X25" s="45">
        <v>270</v>
      </c>
      <c r="Y25" s="58">
        <v>6</v>
      </c>
    </row>
    <row r="26" spans="1:25" s="19" customFormat="1" ht="25.5" customHeight="1" x14ac:dyDescent="0.25">
      <c r="A26" s="45">
        <v>19</v>
      </c>
      <c r="B26" s="47" t="s">
        <v>64</v>
      </c>
      <c r="C26" s="45"/>
      <c r="D26" s="45"/>
      <c r="E26" s="45"/>
      <c r="F26" s="45"/>
      <c r="G26" s="45"/>
      <c r="H26" s="58"/>
      <c r="I26" s="77"/>
      <c r="J26" s="82"/>
      <c r="K26" s="80"/>
      <c r="L26" s="45"/>
      <c r="M26" s="67"/>
      <c r="N26" s="45"/>
      <c r="O26" s="45"/>
      <c r="P26" s="45"/>
      <c r="Q26" s="67"/>
      <c r="R26" s="101"/>
      <c r="S26" s="82"/>
      <c r="T26" s="45"/>
      <c r="U26" s="80"/>
      <c r="V26" s="45"/>
      <c r="W26" s="45"/>
      <c r="X26" s="45"/>
      <c r="Y26" s="58"/>
    </row>
    <row r="27" spans="1:25" s="19" customFormat="1" ht="34.5" customHeight="1" x14ac:dyDescent="0.25">
      <c r="A27" s="45">
        <v>20</v>
      </c>
      <c r="B27" s="47" t="s">
        <v>65</v>
      </c>
      <c r="C27" s="45">
        <v>2010</v>
      </c>
      <c r="D27" s="45">
        <v>1248</v>
      </c>
      <c r="E27" s="45">
        <f>ROUND(D27*100/C27,1)</f>
        <v>62.1</v>
      </c>
      <c r="F27" s="45">
        <f>D27*0.4</f>
        <v>499.20000000000005</v>
      </c>
      <c r="G27" s="45">
        <v>270</v>
      </c>
      <c r="H27" s="59">
        <f t="shared" si="6"/>
        <v>8</v>
      </c>
      <c r="I27" s="75" t="s">
        <v>10</v>
      </c>
      <c r="J27" s="82"/>
      <c r="K27" s="80">
        <v>1248</v>
      </c>
      <c r="L27" s="45">
        <v>2010</v>
      </c>
      <c r="M27" s="67">
        <f t="shared" si="7"/>
        <v>1338</v>
      </c>
      <c r="N27" s="45">
        <f>ROUND(M27*100/L27,1)</f>
        <v>66.599999999999994</v>
      </c>
      <c r="O27" s="45">
        <f>M27*0.4</f>
        <v>535.20000000000005</v>
      </c>
      <c r="P27" s="45">
        <v>270</v>
      </c>
      <c r="Q27" s="67">
        <v>9</v>
      </c>
      <c r="R27" s="101">
        <f t="shared" si="8"/>
        <v>3</v>
      </c>
      <c r="S27" s="82"/>
      <c r="T27" s="45">
        <f>1050+34</f>
        <v>1084</v>
      </c>
      <c r="U27" s="80">
        <v>1530</v>
      </c>
      <c r="V27" s="45">
        <f>ROUND(T27*100/U27,1)</f>
        <v>70.8</v>
      </c>
      <c r="W27" s="45">
        <f>T27*0.4</f>
        <v>433.6</v>
      </c>
      <c r="X27" s="45">
        <v>270</v>
      </c>
      <c r="Y27" s="58">
        <v>6</v>
      </c>
    </row>
    <row r="28" spans="1:25" s="19" customFormat="1" ht="34.5" customHeight="1" x14ac:dyDescent="0.25">
      <c r="A28" s="45">
        <v>21</v>
      </c>
      <c r="B28" s="47" t="s">
        <v>66</v>
      </c>
      <c r="C28" s="45">
        <v>2025</v>
      </c>
      <c r="D28" s="45">
        <f>1230+48</f>
        <v>1278</v>
      </c>
      <c r="E28" s="45">
        <f>ROUND(D28*100/C28,1)</f>
        <v>63.1</v>
      </c>
      <c r="F28" s="45">
        <f>D28*0.4</f>
        <v>511.20000000000005</v>
      </c>
      <c r="G28" s="45">
        <v>270</v>
      </c>
      <c r="H28" s="59">
        <f t="shared" si="6"/>
        <v>8</v>
      </c>
      <c r="I28" s="75" t="s">
        <v>13</v>
      </c>
      <c r="J28" s="82"/>
      <c r="K28" s="80">
        <f>1230+48</f>
        <v>1278</v>
      </c>
      <c r="L28" s="45">
        <v>2025</v>
      </c>
      <c r="M28" s="67">
        <f t="shared" si="7"/>
        <v>1368</v>
      </c>
      <c r="N28" s="45">
        <f>ROUND(M28*100/L28,1)</f>
        <v>67.599999999999994</v>
      </c>
      <c r="O28" s="45">
        <f>M28*0.4</f>
        <v>547.20000000000005</v>
      </c>
      <c r="P28" s="45">
        <v>270</v>
      </c>
      <c r="Q28" s="67">
        <v>10</v>
      </c>
      <c r="R28" s="101">
        <f t="shared" si="8"/>
        <v>4</v>
      </c>
      <c r="S28" s="82"/>
      <c r="T28" s="45">
        <f>1080+34</f>
        <v>1114</v>
      </c>
      <c r="U28" s="80">
        <v>1545</v>
      </c>
      <c r="V28" s="45">
        <f>ROUND(T28*100/U28,1)</f>
        <v>72.099999999999994</v>
      </c>
      <c r="W28" s="45">
        <f>T28*0.4</f>
        <v>445.6</v>
      </c>
      <c r="X28" s="45">
        <v>270</v>
      </c>
      <c r="Y28" s="58">
        <v>6</v>
      </c>
    </row>
    <row r="29" spans="1:25" s="19" customFormat="1" ht="22.5" customHeight="1" x14ac:dyDescent="0.25">
      <c r="A29" s="45">
        <v>22</v>
      </c>
      <c r="B29" s="47" t="s">
        <v>67</v>
      </c>
      <c r="C29" s="45"/>
      <c r="D29" s="45"/>
      <c r="E29" s="45"/>
      <c r="F29" s="45"/>
      <c r="G29" s="45"/>
      <c r="H29" s="58"/>
      <c r="I29" s="74"/>
      <c r="J29" s="82"/>
      <c r="K29" s="80"/>
      <c r="L29" s="45"/>
      <c r="M29" s="67"/>
      <c r="N29" s="45"/>
      <c r="O29" s="45"/>
      <c r="P29" s="45"/>
      <c r="Q29" s="67"/>
      <c r="R29" s="101"/>
      <c r="S29" s="82"/>
      <c r="T29" s="45"/>
      <c r="U29" s="80"/>
      <c r="V29" s="45"/>
      <c r="W29" s="45"/>
      <c r="X29" s="45"/>
      <c r="Y29" s="58"/>
    </row>
    <row r="30" spans="1:25" s="19" customFormat="1" ht="22.5" customHeight="1" x14ac:dyDescent="0.25">
      <c r="A30" s="45">
        <v>23</v>
      </c>
      <c r="B30" s="47" t="s">
        <v>68</v>
      </c>
      <c r="C30" s="45">
        <v>1860</v>
      </c>
      <c r="D30" s="45">
        <f>930+42</f>
        <v>972</v>
      </c>
      <c r="E30" s="48">
        <f>ROUND(D30*100/C30,1)</f>
        <v>52.3</v>
      </c>
      <c r="F30" s="45">
        <f>D30*0.4</f>
        <v>388.8</v>
      </c>
      <c r="G30" s="45">
        <v>270</v>
      </c>
      <c r="H30" s="58">
        <f t="shared" si="6"/>
        <v>4</v>
      </c>
      <c r="I30" s="73" t="s">
        <v>16</v>
      </c>
      <c r="J30" s="82"/>
      <c r="K30" s="80">
        <f>930+42</f>
        <v>972</v>
      </c>
      <c r="L30" s="45">
        <v>1860</v>
      </c>
      <c r="M30" s="67">
        <f t="shared" si="7"/>
        <v>1062</v>
      </c>
      <c r="N30" s="70">
        <f>ROUND(M30*100/L30,1)</f>
        <v>57.1</v>
      </c>
      <c r="O30" s="45">
        <f>M30*0.4</f>
        <v>424.8</v>
      </c>
      <c r="P30" s="45">
        <v>270</v>
      </c>
      <c r="Q30" s="67">
        <v>6</v>
      </c>
      <c r="R30" s="101">
        <f t="shared" si="8"/>
        <v>4</v>
      </c>
      <c r="S30" s="82"/>
      <c r="T30" s="49">
        <f>780+28</f>
        <v>808</v>
      </c>
      <c r="U30" s="99">
        <v>1380</v>
      </c>
      <c r="V30" s="48">
        <f>ROUND(T30*100/U30,1)</f>
        <v>58.6</v>
      </c>
      <c r="W30" s="45">
        <f>T30*0.4</f>
        <v>323.20000000000005</v>
      </c>
      <c r="X30" s="45">
        <v>270</v>
      </c>
      <c r="Y30" s="58">
        <v>2</v>
      </c>
    </row>
    <row r="31" spans="1:25" s="19" customFormat="1" ht="32.25" customHeight="1" x14ac:dyDescent="0.25">
      <c r="A31" s="45">
        <v>24</v>
      </c>
      <c r="B31" s="47" t="s">
        <v>69</v>
      </c>
      <c r="C31" s="45">
        <v>1875</v>
      </c>
      <c r="D31" s="45">
        <f>960+48</f>
        <v>1008</v>
      </c>
      <c r="E31" s="48">
        <f>ROUND(D31*100/C31,1)</f>
        <v>53.8</v>
      </c>
      <c r="F31" s="45">
        <f>D31*0.4</f>
        <v>403.20000000000005</v>
      </c>
      <c r="G31" s="45">
        <v>270</v>
      </c>
      <c r="H31" s="58">
        <f t="shared" si="6"/>
        <v>4</v>
      </c>
      <c r="I31" s="76" t="s">
        <v>34</v>
      </c>
      <c r="J31" s="82"/>
      <c r="K31" s="80">
        <f>960+48</f>
        <v>1008</v>
      </c>
      <c r="L31" s="45">
        <v>1875</v>
      </c>
      <c r="M31" s="67">
        <f t="shared" si="7"/>
        <v>1098</v>
      </c>
      <c r="N31" s="69">
        <f>ROUND(M31*100/L31,1)</f>
        <v>58.6</v>
      </c>
      <c r="O31" s="45">
        <f>M31*0.4</f>
        <v>439.20000000000005</v>
      </c>
      <c r="P31" s="45">
        <v>270</v>
      </c>
      <c r="Q31" s="67">
        <v>6</v>
      </c>
      <c r="R31" s="101">
        <f t="shared" si="8"/>
        <v>3</v>
      </c>
      <c r="S31" s="82"/>
      <c r="T31" s="45">
        <f>810+34</f>
        <v>844</v>
      </c>
      <c r="U31" s="80">
        <v>1395</v>
      </c>
      <c r="V31" s="45">
        <f>ROUND(T31*100/U31,1)</f>
        <v>60.5</v>
      </c>
      <c r="W31" s="45">
        <f>T31*0.4</f>
        <v>337.6</v>
      </c>
      <c r="X31" s="45">
        <v>270</v>
      </c>
      <c r="Y31" s="58">
        <v>3</v>
      </c>
    </row>
    <row r="32" spans="1:25" s="19" customFormat="1" ht="25.5" customHeight="1" x14ac:dyDescent="0.25">
      <c r="A32" s="45">
        <v>25</v>
      </c>
      <c r="B32" s="47" t="s">
        <v>70</v>
      </c>
      <c r="C32" s="45"/>
      <c r="D32" s="45"/>
      <c r="E32" s="49"/>
      <c r="F32" s="45"/>
      <c r="G32" s="45"/>
      <c r="H32" s="58"/>
      <c r="I32" s="74"/>
      <c r="J32" s="82"/>
      <c r="K32" s="80"/>
      <c r="L32" s="45"/>
      <c r="M32" s="67"/>
      <c r="N32" s="45"/>
      <c r="O32" s="45"/>
      <c r="P32" s="45"/>
      <c r="Q32" s="67"/>
      <c r="R32" s="101"/>
      <c r="S32" s="82"/>
      <c r="T32" s="45"/>
      <c r="U32" s="80"/>
      <c r="V32" s="45"/>
      <c r="W32" s="45"/>
      <c r="X32" s="45"/>
      <c r="Y32" s="58"/>
    </row>
    <row r="33" spans="1:25" s="19" customFormat="1" ht="25.5" customHeight="1" x14ac:dyDescent="0.25">
      <c r="A33" s="45">
        <v>26</v>
      </c>
      <c r="B33" s="47" t="s">
        <v>71</v>
      </c>
      <c r="C33" s="45">
        <v>1905</v>
      </c>
      <c r="D33" s="45">
        <f>990+48</f>
        <v>1038</v>
      </c>
      <c r="E33" s="48">
        <f>ROUND(D33*100/C33,1)</f>
        <v>54.5</v>
      </c>
      <c r="F33" s="45">
        <f>D33*0.4</f>
        <v>415.20000000000005</v>
      </c>
      <c r="G33" s="45">
        <v>270</v>
      </c>
      <c r="H33" s="58">
        <f t="shared" si="6"/>
        <v>5</v>
      </c>
      <c r="I33" s="73" t="s">
        <v>18</v>
      </c>
      <c r="J33" s="82"/>
      <c r="K33" s="80">
        <f>990+48</f>
        <v>1038</v>
      </c>
      <c r="L33" s="45">
        <v>1905</v>
      </c>
      <c r="M33" s="67">
        <f t="shared" si="7"/>
        <v>1128</v>
      </c>
      <c r="N33" s="70">
        <f>ROUND(M33*100/L33,1)</f>
        <v>59.2</v>
      </c>
      <c r="O33" s="45">
        <f>M33*0.4</f>
        <v>451.20000000000005</v>
      </c>
      <c r="P33" s="45">
        <v>270</v>
      </c>
      <c r="Q33" s="67">
        <v>6</v>
      </c>
      <c r="R33" s="101">
        <f t="shared" si="8"/>
        <v>3</v>
      </c>
      <c r="S33" s="82"/>
      <c r="T33" s="45">
        <f>840+36</f>
        <v>876</v>
      </c>
      <c r="U33" s="80">
        <v>1455</v>
      </c>
      <c r="V33" s="45">
        <f>ROUND(T33*100/U33,1)</f>
        <v>60.2</v>
      </c>
      <c r="W33" s="45">
        <f>T33*0.4</f>
        <v>350.40000000000003</v>
      </c>
      <c r="X33" s="45">
        <v>270</v>
      </c>
      <c r="Y33" s="58">
        <v>3</v>
      </c>
    </row>
    <row r="34" spans="1:25" s="19" customFormat="1" ht="25.5" customHeight="1" x14ac:dyDescent="0.25">
      <c r="A34" s="45">
        <v>27</v>
      </c>
      <c r="B34" s="47" t="s">
        <v>72</v>
      </c>
      <c r="C34" s="45">
        <v>2010</v>
      </c>
      <c r="D34" s="45">
        <v>1250</v>
      </c>
      <c r="E34" s="45">
        <f>ROUND(D34*100/C34,1)</f>
        <v>62.2</v>
      </c>
      <c r="F34" s="45">
        <f>D34*0.4</f>
        <v>500</v>
      </c>
      <c r="G34" s="45">
        <v>270</v>
      </c>
      <c r="H34" s="58">
        <f t="shared" si="6"/>
        <v>8</v>
      </c>
      <c r="I34" s="73" t="s">
        <v>15</v>
      </c>
      <c r="J34" s="82"/>
      <c r="K34" s="80">
        <v>1250</v>
      </c>
      <c r="L34" s="45">
        <v>2010</v>
      </c>
      <c r="M34" s="67">
        <f t="shared" si="7"/>
        <v>1340</v>
      </c>
      <c r="N34" s="45">
        <f>ROUND(M34*100/L34,1)</f>
        <v>66.7</v>
      </c>
      <c r="O34" s="45">
        <f>M34*0.4</f>
        <v>536</v>
      </c>
      <c r="P34" s="45">
        <v>270</v>
      </c>
      <c r="Q34" s="67">
        <v>9</v>
      </c>
      <c r="R34" s="101">
        <f t="shared" si="8"/>
        <v>3</v>
      </c>
      <c r="S34" s="82"/>
      <c r="T34" s="45">
        <f>1050+36</f>
        <v>1086</v>
      </c>
      <c r="U34" s="80">
        <v>1530</v>
      </c>
      <c r="V34" s="45">
        <f>ROUND(T34*100/U34,1)</f>
        <v>71</v>
      </c>
      <c r="W34" s="45">
        <f>T34*0.4</f>
        <v>434.40000000000003</v>
      </c>
      <c r="X34" s="45">
        <v>270</v>
      </c>
      <c r="Y34" s="58">
        <v>6</v>
      </c>
    </row>
    <row r="35" spans="1:25" s="19" customFormat="1" ht="25.5" customHeight="1" x14ac:dyDescent="0.25">
      <c r="A35" s="143" t="s">
        <v>35</v>
      </c>
      <c r="B35" s="143"/>
      <c r="C35" s="45"/>
      <c r="D35" s="55" t="s">
        <v>37</v>
      </c>
      <c r="E35" s="45"/>
      <c r="F35" s="45"/>
      <c r="G35" s="45"/>
      <c r="H35" s="45"/>
      <c r="I35" s="78"/>
      <c r="J35" s="82"/>
      <c r="L35" s="45"/>
      <c r="M35" s="81" t="s">
        <v>89</v>
      </c>
      <c r="N35" s="45"/>
      <c r="O35" s="45"/>
      <c r="P35" s="45"/>
      <c r="Q35" s="45"/>
      <c r="R35" s="102"/>
      <c r="S35" s="82"/>
      <c r="T35" s="44"/>
      <c r="U35" s="81" t="s">
        <v>84</v>
      </c>
      <c r="V35" s="44"/>
      <c r="W35" s="45"/>
      <c r="X35" s="45"/>
      <c r="Y35" s="49">
        <f>COUNT(Y8:Y34)</f>
        <v>23</v>
      </c>
    </row>
    <row r="36" spans="1:25" s="4" customFormat="1" ht="18.75" hidden="1" customHeight="1" x14ac:dyDescent="0.25">
      <c r="B36" s="9"/>
      <c r="C36" s="12"/>
      <c r="D36" s="12"/>
      <c r="E36" s="12"/>
      <c r="F36" s="12"/>
      <c r="G36" s="12"/>
      <c r="H36" s="12"/>
      <c r="I36" s="12"/>
    </row>
    <row r="37" spans="1:25" s="4" customFormat="1" ht="18.75" hidden="1" customHeight="1" x14ac:dyDescent="0.25">
      <c r="B37" s="9"/>
      <c r="C37" s="12"/>
      <c r="D37" s="12"/>
      <c r="F37" s="12"/>
      <c r="G37" s="12"/>
      <c r="H37" s="12"/>
      <c r="I37" s="12"/>
    </row>
    <row r="38" spans="1:25" s="4" customFormat="1" ht="18.75" hidden="1" customHeight="1" x14ac:dyDescent="0.25">
      <c r="B38" s="13" t="s">
        <v>43</v>
      </c>
      <c r="C38" s="12"/>
      <c r="E38" s="12"/>
      <c r="F38" s="12"/>
      <c r="G38" s="12"/>
      <c r="H38" s="12"/>
      <c r="I38" s="12"/>
    </row>
    <row r="39" spans="1:25" s="4" customFormat="1" ht="18.75" hidden="1" customHeight="1" x14ac:dyDescent="0.25">
      <c r="B39" s="20" t="s">
        <v>41</v>
      </c>
      <c r="E39" s="12"/>
      <c r="F39" s="25">
        <v>0.60860000000000003</v>
      </c>
      <c r="G39" s="12"/>
      <c r="I39" s="12"/>
    </row>
    <row r="40" spans="1:25" s="4" customFormat="1" ht="18.75" hidden="1" customHeight="1" x14ac:dyDescent="0.25">
      <c r="B40" s="20" t="s">
        <v>42</v>
      </c>
      <c r="C40" s="12"/>
      <c r="E40" s="12"/>
      <c r="F40" s="25">
        <v>0.91300000000000003</v>
      </c>
      <c r="G40" s="12"/>
      <c r="I40" s="12"/>
    </row>
    <row r="41" spans="1:25" s="4" customFormat="1" ht="11.25" hidden="1" customHeight="1" x14ac:dyDescent="0.25">
      <c r="B41" s="12"/>
      <c r="C41" s="12"/>
      <c r="E41" s="12"/>
      <c r="F41" s="12"/>
      <c r="G41" s="12"/>
      <c r="H41" s="12"/>
      <c r="I41" s="12"/>
    </row>
    <row r="42" spans="1:25" s="4" customFormat="1" ht="18.75" hidden="1" customHeight="1" x14ac:dyDescent="0.25">
      <c r="B42" s="13" t="s">
        <v>46</v>
      </c>
      <c r="C42" s="11"/>
      <c r="D42" s="29"/>
      <c r="E42" s="11"/>
      <c r="F42" s="11"/>
      <c r="G42" s="29"/>
      <c r="H42" s="30">
        <v>0.68179999999999996</v>
      </c>
      <c r="I42" s="12"/>
    </row>
    <row r="43" spans="1:25" s="4" customFormat="1" ht="20.25" hidden="1" customHeight="1" x14ac:dyDescent="0.25">
      <c r="B43" s="10" t="s">
        <v>47</v>
      </c>
      <c r="C43" s="10"/>
      <c r="D43" s="29"/>
      <c r="E43" s="10"/>
      <c r="F43" s="10"/>
      <c r="G43" s="10"/>
      <c r="H43" s="30">
        <v>0.95450000000000002</v>
      </c>
      <c r="I43" s="12"/>
    </row>
    <row r="44" spans="1:25" ht="20.25" customHeight="1" x14ac:dyDescent="0.25"/>
    <row r="45" spans="1:25" ht="18.75" customHeight="1" x14ac:dyDescent="0.25"/>
    <row r="46" spans="1:25" ht="18.75" customHeight="1" x14ac:dyDescent="0.25"/>
    <row r="47" spans="1:25" ht="18.75" customHeight="1" x14ac:dyDescent="0.25"/>
    <row r="48" spans="1:25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</sheetData>
  <mergeCells count="2">
    <mergeCell ref="A35:B35"/>
    <mergeCell ref="A4:Y4"/>
  </mergeCells>
  <printOptions horizontalCentered="1"/>
  <pageMargins left="0.11811023622047245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14"/>
  <sheetViews>
    <sheetView topLeftCell="H5" zoomScale="115" zoomScaleNormal="115" workbookViewId="0">
      <selection activeCell="N8" sqref="N8:N14"/>
    </sheetView>
  </sheetViews>
  <sheetFormatPr defaultRowHeight="15" x14ac:dyDescent="0.25"/>
  <cols>
    <col min="1" max="1" width="3.5703125" style="2" customWidth="1"/>
    <col min="2" max="2" width="22.5703125" style="2" customWidth="1"/>
    <col min="3" max="4" width="11.42578125" style="2" customWidth="1"/>
    <col min="5" max="5" width="16.28515625" style="2" customWidth="1"/>
    <col min="6" max="7" width="11.7109375" style="2" customWidth="1"/>
    <col min="8" max="8" width="1.42578125" style="3" customWidth="1"/>
    <col min="9" max="9" width="12.42578125" style="2" customWidth="1"/>
    <col min="10" max="10" width="17.140625" style="2" customWidth="1"/>
    <col min="11" max="11" width="15" style="2" customWidth="1"/>
    <col min="12" max="13" width="12.42578125" style="2" customWidth="1"/>
    <col min="14" max="14" width="14.85546875" style="2" customWidth="1"/>
    <col min="15" max="15" width="1.5703125" style="2" customWidth="1"/>
    <col min="16" max="19" width="12.28515625" style="2" customWidth="1"/>
    <col min="20" max="20" width="13.7109375" style="2" customWidth="1"/>
    <col min="21" max="16384" width="9.140625" style="2"/>
  </cols>
  <sheetData>
    <row r="1" spans="1:23" x14ac:dyDescent="0.25">
      <c r="A1" s="104" t="s">
        <v>93</v>
      </c>
      <c r="I1" s="3"/>
      <c r="Q1" s="106" t="s">
        <v>96</v>
      </c>
    </row>
    <row r="2" spans="1:23" x14ac:dyDescent="0.25">
      <c r="A2" s="96" t="s">
        <v>94</v>
      </c>
      <c r="I2" s="3"/>
      <c r="Q2" s="107" t="s">
        <v>97</v>
      </c>
    </row>
    <row r="3" spans="1:23" x14ac:dyDescent="0.25">
      <c r="A3" s="105" t="s">
        <v>95</v>
      </c>
      <c r="I3" s="3"/>
    </row>
    <row r="4" spans="1:23" ht="30" customHeight="1" x14ac:dyDescent="0.25">
      <c r="A4" s="144" t="s">
        <v>109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</row>
    <row r="5" spans="1:23" s="1" customFormat="1" ht="9" customHeight="1" x14ac:dyDescent="0.25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</row>
    <row r="6" spans="1:23" s="19" customFormat="1" ht="78" customHeight="1" x14ac:dyDescent="0.25">
      <c r="A6" s="66" t="s">
        <v>73</v>
      </c>
      <c r="B6" s="17" t="s">
        <v>1</v>
      </c>
      <c r="C6" s="17" t="s">
        <v>78</v>
      </c>
      <c r="D6" s="17" t="s">
        <v>79</v>
      </c>
      <c r="E6" s="17" t="s">
        <v>80</v>
      </c>
      <c r="F6" s="18" t="s">
        <v>81</v>
      </c>
      <c r="G6" s="114" t="s">
        <v>91</v>
      </c>
      <c r="H6" s="88"/>
      <c r="I6" s="79" t="s">
        <v>78</v>
      </c>
      <c r="J6" s="71" t="s">
        <v>110</v>
      </c>
      <c r="K6" s="17" t="s">
        <v>80</v>
      </c>
      <c r="L6" s="17" t="s">
        <v>81</v>
      </c>
      <c r="M6" s="68" t="s">
        <v>91</v>
      </c>
      <c r="N6" s="129" t="s">
        <v>90</v>
      </c>
      <c r="O6" s="82"/>
      <c r="P6" s="79" t="s">
        <v>105</v>
      </c>
      <c r="Q6" s="17" t="s">
        <v>106</v>
      </c>
      <c r="R6" s="17" t="s">
        <v>80</v>
      </c>
      <c r="S6" s="116" t="s">
        <v>81</v>
      </c>
      <c r="T6" s="68" t="s">
        <v>83</v>
      </c>
    </row>
    <row r="7" spans="1:23" s="121" customFormat="1" ht="28.5" customHeight="1" x14ac:dyDescent="0.25">
      <c r="A7" s="118" t="s">
        <v>102</v>
      </c>
      <c r="B7" s="115"/>
      <c r="C7" s="115"/>
      <c r="D7" s="115"/>
      <c r="E7" s="115"/>
      <c r="F7" s="119"/>
      <c r="G7" s="126"/>
      <c r="H7" s="117"/>
      <c r="I7" s="120" t="s">
        <v>103</v>
      </c>
      <c r="J7" s="127"/>
      <c r="L7" s="122"/>
      <c r="M7" s="68"/>
      <c r="N7" s="130"/>
      <c r="O7" s="123"/>
      <c r="P7" s="120" t="s">
        <v>104</v>
      </c>
      <c r="Q7" s="124"/>
      <c r="R7" s="125"/>
      <c r="T7" s="128"/>
    </row>
    <row r="8" spans="1:23" s="19" customFormat="1" ht="25.5" customHeight="1" x14ac:dyDescent="0.25">
      <c r="A8" s="45">
        <v>1</v>
      </c>
      <c r="B8" s="47" t="s">
        <v>50</v>
      </c>
      <c r="C8" s="49">
        <v>930</v>
      </c>
      <c r="D8" s="49">
        <v>521</v>
      </c>
      <c r="E8" s="48">
        <f t="shared" ref="E8:E12" si="0">ROUND(D8*100/C8,1)</f>
        <v>56</v>
      </c>
      <c r="F8" s="45">
        <f t="shared" ref="F8:F12" si="1">D8*0.4</f>
        <v>208.4</v>
      </c>
      <c r="G8" s="98">
        <v>7</v>
      </c>
      <c r="H8" s="89"/>
      <c r="I8" s="80">
        <v>930</v>
      </c>
      <c r="J8" s="67">
        <f>D8+90</f>
        <v>611</v>
      </c>
      <c r="K8" s="45">
        <f t="shared" ref="K8:K14" si="2">ROUND(J8*100/I8,1)</f>
        <v>65.7</v>
      </c>
      <c r="L8" s="45">
        <f>J8*0.4</f>
        <v>244.4</v>
      </c>
      <c r="M8" s="67">
        <v>9</v>
      </c>
      <c r="N8" s="131">
        <f>M8-T8</f>
        <v>2</v>
      </c>
      <c r="O8" s="82"/>
      <c r="P8" s="99">
        <v>750</v>
      </c>
      <c r="Q8" s="49">
        <v>483</v>
      </c>
      <c r="R8" s="45">
        <f t="shared" ref="R8:R12" si="3">ROUND(Q8*100/P8,1)</f>
        <v>64.400000000000006</v>
      </c>
      <c r="S8" s="78">
        <f t="shared" ref="S8:S12" si="4">Q8*0.4</f>
        <v>193.20000000000002</v>
      </c>
      <c r="T8" s="67">
        <v>7</v>
      </c>
    </row>
    <row r="9" spans="1:23" s="19" customFormat="1" ht="25.5" customHeight="1" x14ac:dyDescent="0.25">
      <c r="A9" s="45">
        <v>2</v>
      </c>
      <c r="B9" s="47" t="s">
        <v>53</v>
      </c>
      <c r="C9" s="45">
        <v>915</v>
      </c>
      <c r="D9" s="45">
        <v>491</v>
      </c>
      <c r="E9" s="48">
        <f t="shared" si="0"/>
        <v>53.7</v>
      </c>
      <c r="F9" s="45">
        <f t="shared" si="1"/>
        <v>196.4</v>
      </c>
      <c r="G9" s="98">
        <v>7</v>
      </c>
      <c r="H9" s="89"/>
      <c r="I9" s="80">
        <v>915</v>
      </c>
      <c r="J9" s="67">
        <f t="shared" ref="J9:J14" si="5">D9+90</f>
        <v>581</v>
      </c>
      <c r="K9" s="45">
        <f t="shared" si="2"/>
        <v>63.5</v>
      </c>
      <c r="L9" s="45">
        <f t="shared" ref="L9:L14" si="6">J9*0.4</f>
        <v>232.4</v>
      </c>
      <c r="M9" s="67">
        <f t="shared" ref="M9:M13" si="7">ROUND((J9*0.4)/30,0)</f>
        <v>8</v>
      </c>
      <c r="N9" s="131">
        <f t="shared" ref="N9:N14" si="8">M9-T9</f>
        <v>1</v>
      </c>
      <c r="O9" s="82"/>
      <c r="P9" s="80">
        <v>735</v>
      </c>
      <c r="Q9" s="45">
        <v>453</v>
      </c>
      <c r="R9" s="45">
        <f t="shared" si="3"/>
        <v>61.6</v>
      </c>
      <c r="S9" s="78">
        <f t="shared" si="4"/>
        <v>181.20000000000002</v>
      </c>
      <c r="T9" s="67">
        <v>7</v>
      </c>
    </row>
    <row r="10" spans="1:23" s="19" customFormat="1" ht="25.5" customHeight="1" x14ac:dyDescent="0.25">
      <c r="A10" s="45">
        <v>3</v>
      </c>
      <c r="B10" s="47" t="s">
        <v>76</v>
      </c>
      <c r="C10" s="45">
        <v>930</v>
      </c>
      <c r="D10" s="45">
        <v>506</v>
      </c>
      <c r="E10" s="48">
        <f t="shared" si="0"/>
        <v>54.4</v>
      </c>
      <c r="F10" s="45">
        <f t="shared" si="1"/>
        <v>202.4</v>
      </c>
      <c r="G10" s="98">
        <v>7</v>
      </c>
      <c r="H10" s="89"/>
      <c r="I10" s="80">
        <v>930</v>
      </c>
      <c r="J10" s="67">
        <f t="shared" si="5"/>
        <v>596</v>
      </c>
      <c r="K10" s="45">
        <f t="shared" si="2"/>
        <v>64.099999999999994</v>
      </c>
      <c r="L10" s="45">
        <f t="shared" si="6"/>
        <v>238.4</v>
      </c>
      <c r="M10" s="67">
        <f t="shared" si="7"/>
        <v>8</v>
      </c>
      <c r="N10" s="131">
        <f t="shared" si="8"/>
        <v>1</v>
      </c>
      <c r="O10" s="82"/>
      <c r="P10" s="80">
        <v>750</v>
      </c>
      <c r="Q10" s="45">
        <v>468</v>
      </c>
      <c r="R10" s="45">
        <f t="shared" si="3"/>
        <v>62.4</v>
      </c>
      <c r="S10" s="78">
        <f t="shared" si="4"/>
        <v>187.20000000000002</v>
      </c>
      <c r="T10" s="67">
        <v>7</v>
      </c>
    </row>
    <row r="11" spans="1:23" s="19" customFormat="1" ht="25.5" customHeight="1" x14ac:dyDescent="0.25">
      <c r="A11" s="45">
        <v>4</v>
      </c>
      <c r="B11" s="47" t="s">
        <v>59</v>
      </c>
      <c r="C11" s="45">
        <v>915</v>
      </c>
      <c r="D11" s="45">
        <v>491</v>
      </c>
      <c r="E11" s="48">
        <f t="shared" si="0"/>
        <v>53.7</v>
      </c>
      <c r="F11" s="45">
        <f t="shared" si="1"/>
        <v>196.4</v>
      </c>
      <c r="G11" s="98">
        <v>7</v>
      </c>
      <c r="H11" s="89"/>
      <c r="I11" s="80">
        <v>915</v>
      </c>
      <c r="J11" s="67">
        <f t="shared" si="5"/>
        <v>581</v>
      </c>
      <c r="K11" s="45">
        <f t="shared" si="2"/>
        <v>63.5</v>
      </c>
      <c r="L11" s="45">
        <f t="shared" si="6"/>
        <v>232.4</v>
      </c>
      <c r="M11" s="67">
        <f t="shared" si="7"/>
        <v>8</v>
      </c>
      <c r="N11" s="131">
        <f t="shared" si="8"/>
        <v>1</v>
      </c>
      <c r="O11" s="82"/>
      <c r="P11" s="80">
        <v>735</v>
      </c>
      <c r="Q11" s="45">
        <v>453</v>
      </c>
      <c r="R11" s="45">
        <f t="shared" si="3"/>
        <v>61.6</v>
      </c>
      <c r="S11" s="78">
        <f t="shared" si="4"/>
        <v>181.20000000000002</v>
      </c>
      <c r="T11" s="67">
        <v>7</v>
      </c>
    </row>
    <row r="12" spans="1:23" s="19" customFormat="1" ht="25.5" customHeight="1" x14ac:dyDescent="0.25">
      <c r="A12" s="45">
        <v>5</v>
      </c>
      <c r="B12" s="47" t="s">
        <v>61</v>
      </c>
      <c r="C12" s="45">
        <v>1035</v>
      </c>
      <c r="D12" s="45">
        <v>737</v>
      </c>
      <c r="E12" s="45">
        <f t="shared" si="0"/>
        <v>71.2</v>
      </c>
      <c r="F12" s="45">
        <f t="shared" si="1"/>
        <v>294.8</v>
      </c>
      <c r="G12" s="98">
        <v>10</v>
      </c>
      <c r="H12" s="90"/>
      <c r="I12" s="80">
        <v>1035</v>
      </c>
      <c r="J12" s="67">
        <f t="shared" si="5"/>
        <v>827</v>
      </c>
      <c r="K12" s="45">
        <f t="shared" si="2"/>
        <v>79.900000000000006</v>
      </c>
      <c r="L12" s="45">
        <f t="shared" si="6"/>
        <v>330.8</v>
      </c>
      <c r="M12" s="67">
        <f t="shared" si="7"/>
        <v>11</v>
      </c>
      <c r="N12" s="131">
        <f t="shared" si="8"/>
        <v>1</v>
      </c>
      <c r="O12" s="82"/>
      <c r="P12" s="80">
        <v>855</v>
      </c>
      <c r="Q12" s="45">
        <v>699</v>
      </c>
      <c r="R12" s="45">
        <f t="shared" si="3"/>
        <v>81.8</v>
      </c>
      <c r="S12" s="78">
        <f t="shared" si="4"/>
        <v>279.60000000000002</v>
      </c>
      <c r="T12" s="67">
        <v>10</v>
      </c>
    </row>
    <row r="13" spans="1:23" s="19" customFormat="1" ht="25.5" customHeight="1" x14ac:dyDescent="0.25">
      <c r="A13" s="45">
        <v>6</v>
      </c>
      <c r="B13" s="47" t="s">
        <v>68</v>
      </c>
      <c r="C13" s="49">
        <v>915</v>
      </c>
      <c r="D13" s="49">
        <v>487</v>
      </c>
      <c r="E13" s="48">
        <f>ROUND(D13*100/C13,1)</f>
        <v>53.2</v>
      </c>
      <c r="F13" s="45">
        <f>D13*0.4</f>
        <v>194.8</v>
      </c>
      <c r="G13" s="98">
        <v>7</v>
      </c>
      <c r="H13" s="89"/>
      <c r="I13" s="80">
        <v>915</v>
      </c>
      <c r="J13" s="67">
        <f t="shared" si="5"/>
        <v>577</v>
      </c>
      <c r="K13" s="45">
        <f t="shared" si="2"/>
        <v>63.1</v>
      </c>
      <c r="L13" s="45">
        <f t="shared" si="6"/>
        <v>230.8</v>
      </c>
      <c r="M13" s="67">
        <f t="shared" si="7"/>
        <v>8</v>
      </c>
      <c r="N13" s="131">
        <f t="shared" si="8"/>
        <v>2</v>
      </c>
      <c r="O13" s="82"/>
      <c r="P13" s="99">
        <v>735</v>
      </c>
      <c r="Q13" s="49">
        <v>449</v>
      </c>
      <c r="R13" s="49">
        <f>ROUND(Q13*100/P13,1)</f>
        <v>61.1</v>
      </c>
      <c r="S13" s="78">
        <f>Q13*0.4</f>
        <v>179.60000000000002</v>
      </c>
      <c r="T13" s="67">
        <v>6</v>
      </c>
    </row>
    <row r="14" spans="1:23" s="19" customFormat="1" ht="25.5" customHeight="1" x14ac:dyDescent="0.25">
      <c r="A14" s="45">
        <v>7</v>
      </c>
      <c r="B14" s="47" t="s">
        <v>72</v>
      </c>
      <c r="C14" s="45">
        <v>975</v>
      </c>
      <c r="D14" s="45">
        <v>611</v>
      </c>
      <c r="E14" s="45">
        <f>ROUND(D14*100/C14,1)</f>
        <v>62.7</v>
      </c>
      <c r="F14" s="45">
        <f>D14*0.4</f>
        <v>244.4</v>
      </c>
      <c r="G14" s="98">
        <v>9</v>
      </c>
      <c r="H14" s="89"/>
      <c r="I14" s="80">
        <v>975</v>
      </c>
      <c r="J14" s="67">
        <f t="shared" si="5"/>
        <v>701</v>
      </c>
      <c r="K14" s="45">
        <f t="shared" si="2"/>
        <v>71.900000000000006</v>
      </c>
      <c r="L14" s="45">
        <f t="shared" si="6"/>
        <v>280.40000000000003</v>
      </c>
      <c r="M14" s="67">
        <v>10</v>
      </c>
      <c r="N14" s="131">
        <f t="shared" si="8"/>
        <v>2</v>
      </c>
      <c r="O14" s="82"/>
      <c r="P14" s="80">
        <v>795</v>
      </c>
      <c r="Q14" s="45">
        <v>573</v>
      </c>
      <c r="R14" s="45">
        <f>ROUND(Q14*100/P14,1)</f>
        <v>72.099999999999994</v>
      </c>
      <c r="S14" s="78">
        <f>Q14*0.4</f>
        <v>229.20000000000002</v>
      </c>
      <c r="T14" s="67">
        <v>8</v>
      </c>
    </row>
    <row r="15" spans="1:23" s="19" customFormat="1" ht="25.5" customHeight="1" x14ac:dyDescent="0.25">
      <c r="A15" s="143" t="s">
        <v>35</v>
      </c>
      <c r="B15" s="143"/>
      <c r="C15" s="55" t="s">
        <v>92</v>
      </c>
      <c r="D15" s="44"/>
      <c r="E15" s="44"/>
      <c r="F15" s="45"/>
      <c r="G15" s="83"/>
      <c r="H15" s="86"/>
      <c r="I15" s="81" t="s">
        <v>88</v>
      </c>
      <c r="J15" s="45"/>
      <c r="K15" s="45"/>
      <c r="L15" s="45"/>
      <c r="M15" s="49"/>
      <c r="N15" s="132"/>
      <c r="O15" s="82"/>
      <c r="P15" s="81" t="s">
        <v>88</v>
      </c>
      <c r="Q15" s="44"/>
      <c r="R15" s="44"/>
      <c r="S15" s="78"/>
      <c r="T15" s="49"/>
    </row>
    <row r="16" spans="1:23" s="4" customFormat="1" ht="18.75" hidden="1" customHeight="1" x14ac:dyDescent="0.25">
      <c r="A16" s="24"/>
      <c r="B16" s="24"/>
      <c r="C16" s="7"/>
      <c r="D16" s="7"/>
      <c r="E16" s="7"/>
      <c r="F16" s="7"/>
      <c r="G16" s="7"/>
      <c r="H16" s="87"/>
    </row>
    <row r="17" spans="1:8" s="4" customFormat="1" ht="18.75" hidden="1" customHeight="1" x14ac:dyDescent="0.25">
      <c r="A17" s="24"/>
      <c r="B17" s="24"/>
      <c r="C17" s="7"/>
      <c r="D17" s="7"/>
      <c r="E17" s="7"/>
      <c r="F17" s="7"/>
      <c r="G17" s="7"/>
      <c r="H17" s="7"/>
    </row>
    <row r="18" spans="1:8" s="4" customFormat="1" ht="18.75" hidden="1" customHeight="1" x14ac:dyDescent="0.25">
      <c r="A18" s="24"/>
      <c r="B18" s="60" t="s">
        <v>43</v>
      </c>
      <c r="C18" s="7"/>
      <c r="D18" s="7"/>
      <c r="E18" s="7"/>
      <c r="F18" s="7"/>
      <c r="G18" s="7"/>
      <c r="H18" s="7"/>
    </row>
    <row r="19" spans="1:8" s="4" customFormat="1" ht="18.75" hidden="1" customHeight="1" x14ac:dyDescent="0.25">
      <c r="A19" s="24"/>
      <c r="B19" s="61" t="s">
        <v>41</v>
      </c>
      <c r="C19" s="7"/>
      <c r="D19" s="7"/>
      <c r="E19" s="7"/>
      <c r="F19" s="7"/>
      <c r="G19" s="7"/>
      <c r="H19" s="7"/>
    </row>
    <row r="20" spans="1:8" s="4" customFormat="1" ht="18.75" hidden="1" customHeight="1" x14ac:dyDescent="0.25">
      <c r="A20" s="24"/>
      <c r="B20" s="61" t="s">
        <v>42</v>
      </c>
      <c r="C20" s="7"/>
      <c r="D20" s="7"/>
      <c r="E20" s="7"/>
      <c r="F20" s="7"/>
      <c r="G20" s="7"/>
      <c r="H20" s="7"/>
    </row>
    <row r="21" spans="1:8" s="4" customFormat="1" ht="11.25" hidden="1" customHeight="1" x14ac:dyDescent="0.25">
      <c r="A21" s="24"/>
      <c r="B21" s="7"/>
      <c r="C21" s="7"/>
      <c r="D21" s="7"/>
      <c r="E21" s="16"/>
      <c r="F21" s="7"/>
      <c r="G21" s="7"/>
      <c r="H21" s="7"/>
    </row>
    <row r="22" spans="1:8" s="4" customFormat="1" ht="18.75" hidden="1" customHeight="1" x14ac:dyDescent="0.25">
      <c r="A22" s="24"/>
      <c r="B22" s="60" t="s">
        <v>46</v>
      </c>
      <c r="C22" s="7"/>
      <c r="D22" s="7"/>
      <c r="E22" s="7"/>
      <c r="F22" s="7"/>
      <c r="G22" s="7"/>
      <c r="H22" s="7"/>
    </row>
    <row r="23" spans="1:8" s="4" customFormat="1" ht="20.25" hidden="1" customHeight="1" x14ac:dyDescent="0.25">
      <c r="A23" s="24"/>
      <c r="B23" s="62" t="s">
        <v>47</v>
      </c>
      <c r="C23" s="24"/>
      <c r="D23" s="24"/>
      <c r="E23" s="62"/>
      <c r="F23" s="24"/>
      <c r="G23" s="24"/>
      <c r="H23" s="7"/>
    </row>
    <row r="24" spans="1:8" ht="20.25" hidden="1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</sheetData>
  <mergeCells count="2">
    <mergeCell ref="A15:B15"/>
    <mergeCell ref="A4:W4"/>
  </mergeCells>
  <printOptions horizontalCentered="1"/>
  <pageMargins left="0.11811023622047245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4"/>
  <sheetViews>
    <sheetView topLeftCell="B7" zoomScale="115" zoomScaleNormal="115" workbookViewId="0">
      <selection activeCell="B19" sqref="B19"/>
    </sheetView>
  </sheetViews>
  <sheetFormatPr defaultRowHeight="15" x14ac:dyDescent="0.25"/>
  <cols>
    <col min="1" max="1" width="3.5703125" style="2" customWidth="1"/>
    <col min="2" max="2" width="29.28515625" style="2" customWidth="1"/>
    <col min="3" max="4" width="9.7109375" style="2" customWidth="1"/>
    <col min="5" max="5" width="11.85546875" style="2" customWidth="1"/>
    <col min="6" max="6" width="9.7109375" style="2" customWidth="1"/>
    <col min="7" max="7" width="9.7109375" style="3" customWidth="1"/>
    <col min="8" max="8" width="9.7109375" style="2" customWidth="1"/>
    <col min="9" max="9" width="13" style="2" hidden="1" customWidth="1"/>
    <col min="10" max="10" width="1.85546875" style="2" customWidth="1"/>
    <col min="11" max="11" width="9.140625" style="2" hidden="1" customWidth="1"/>
    <col min="12" max="12" width="10.42578125" style="2" customWidth="1"/>
    <col min="13" max="13" width="13.7109375" style="2" customWidth="1"/>
    <col min="14" max="14" width="13.42578125" style="2" customWidth="1"/>
    <col min="15" max="16" width="10.42578125" style="2" customWidth="1"/>
    <col min="17" max="17" width="11.28515625" style="2" customWidth="1"/>
    <col min="18" max="18" width="12.5703125" style="2" customWidth="1"/>
    <col min="19" max="19" width="2.28515625" style="2" customWidth="1"/>
    <col min="20" max="20" width="12.5703125" style="2" customWidth="1"/>
    <col min="21" max="24" width="11.5703125" style="2" customWidth="1"/>
    <col min="25" max="25" width="12.85546875" style="2" customWidth="1"/>
    <col min="26" max="16384" width="9.140625" style="2"/>
  </cols>
  <sheetData>
    <row r="1" spans="1:25" ht="16.5" x14ac:dyDescent="0.25">
      <c r="A1" s="112" t="s">
        <v>93</v>
      </c>
      <c r="G1" s="2"/>
      <c r="H1" s="3"/>
      <c r="I1" s="3"/>
      <c r="U1" s="110" t="s">
        <v>96</v>
      </c>
    </row>
    <row r="2" spans="1:25" ht="16.5" x14ac:dyDescent="0.25">
      <c r="A2" s="29" t="s">
        <v>94</v>
      </c>
      <c r="G2" s="2"/>
      <c r="H2" s="3"/>
      <c r="I2" s="3"/>
      <c r="U2" s="111" t="s">
        <v>97</v>
      </c>
    </row>
    <row r="3" spans="1:25" ht="16.5" x14ac:dyDescent="0.25">
      <c r="A3" s="113" t="s">
        <v>95</v>
      </c>
      <c r="G3" s="2"/>
      <c r="H3" s="3"/>
      <c r="I3" s="3"/>
    </row>
    <row r="4" spans="1:25" s="1" customFormat="1" ht="30.75" customHeight="1" x14ac:dyDescent="0.25">
      <c r="A4" s="145" t="s">
        <v>107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</row>
    <row r="5" spans="1:25" s="1" customFormat="1" ht="9.75" customHeight="1" x14ac:dyDescent="0.25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</row>
    <row r="6" spans="1:25" s="19" customFormat="1" ht="73.5" customHeight="1" x14ac:dyDescent="0.25">
      <c r="A6" s="46" t="s">
        <v>73</v>
      </c>
      <c r="B6" s="17" t="s">
        <v>1</v>
      </c>
      <c r="C6" s="17" t="s">
        <v>78</v>
      </c>
      <c r="D6" s="17" t="s">
        <v>79</v>
      </c>
      <c r="E6" s="17" t="s">
        <v>80</v>
      </c>
      <c r="F6" s="18" t="s">
        <v>81</v>
      </c>
      <c r="G6" s="18" t="s">
        <v>82</v>
      </c>
      <c r="H6" s="68" t="s">
        <v>2</v>
      </c>
      <c r="I6" s="72" t="s">
        <v>75</v>
      </c>
      <c r="J6" s="82"/>
      <c r="K6" s="79" t="s">
        <v>74</v>
      </c>
      <c r="L6" s="17" t="s">
        <v>78</v>
      </c>
      <c r="M6" s="71" t="s">
        <v>110</v>
      </c>
      <c r="N6" s="17" t="s">
        <v>80</v>
      </c>
      <c r="O6" s="18" t="s">
        <v>81</v>
      </c>
      <c r="P6" s="18" t="s">
        <v>82</v>
      </c>
      <c r="Q6" s="68" t="s">
        <v>2</v>
      </c>
      <c r="R6" s="142" t="s">
        <v>90</v>
      </c>
      <c r="S6" s="82"/>
      <c r="T6" s="79" t="s">
        <v>105</v>
      </c>
      <c r="U6" s="17" t="s">
        <v>106</v>
      </c>
      <c r="V6" s="17" t="s">
        <v>80</v>
      </c>
      <c r="W6" s="18" t="s">
        <v>81</v>
      </c>
      <c r="X6" s="18" t="s">
        <v>82</v>
      </c>
      <c r="Y6" s="68" t="s">
        <v>83</v>
      </c>
    </row>
    <row r="7" spans="1:25" s="19" customFormat="1" ht="28.5" customHeight="1" x14ac:dyDescent="0.25">
      <c r="A7" s="103" t="s">
        <v>102</v>
      </c>
      <c r="B7" s="17"/>
      <c r="C7" s="17"/>
      <c r="D7" s="17"/>
      <c r="E7" s="17"/>
      <c r="F7" s="18"/>
      <c r="G7" s="18"/>
      <c r="H7" s="68"/>
      <c r="I7" s="72"/>
      <c r="J7" s="82"/>
      <c r="K7" s="79"/>
      <c r="L7" s="103" t="s">
        <v>103</v>
      </c>
      <c r="M7" s="71"/>
      <c r="N7" s="17"/>
      <c r="O7" s="18"/>
      <c r="P7" s="18"/>
      <c r="Q7" s="68"/>
      <c r="R7" s="142"/>
      <c r="S7" s="82"/>
      <c r="T7" s="108" t="s">
        <v>104</v>
      </c>
      <c r="Y7" s="128"/>
    </row>
    <row r="8" spans="1:25" s="19" customFormat="1" ht="23.25" customHeight="1" x14ac:dyDescent="0.25">
      <c r="A8" s="45">
        <v>1</v>
      </c>
      <c r="B8" s="47" t="s">
        <v>48</v>
      </c>
      <c r="C8" s="45">
        <f>390+1050</f>
        <v>1440</v>
      </c>
      <c r="D8" s="45">
        <f>645+20+165+12</f>
        <v>842</v>
      </c>
      <c r="E8" s="50">
        <f>ROUND(D8*100/C8,1)</f>
        <v>58.5</v>
      </c>
      <c r="F8" s="45">
        <f>D8*0.4</f>
        <v>336.8</v>
      </c>
      <c r="G8" s="45">
        <v>270</v>
      </c>
      <c r="H8" s="67">
        <f>ROUND((F8-G8)/30,0)</f>
        <v>2</v>
      </c>
      <c r="I8" s="73" t="s">
        <v>33</v>
      </c>
      <c r="J8" s="85"/>
      <c r="K8" s="80">
        <f>645+20+165+12</f>
        <v>842</v>
      </c>
      <c r="L8" s="45">
        <f>390+1050</f>
        <v>1440</v>
      </c>
      <c r="M8" s="67">
        <f>K8+90</f>
        <v>932</v>
      </c>
      <c r="N8" s="45">
        <f>ROUND(M8*100/L8,1)</f>
        <v>64.7</v>
      </c>
      <c r="O8" s="45">
        <f>M8*0.4</f>
        <v>372.8</v>
      </c>
      <c r="P8" s="45">
        <v>270</v>
      </c>
      <c r="Q8" s="67">
        <v>4</v>
      </c>
      <c r="R8" s="101">
        <f>Q8-Y8</f>
        <v>4</v>
      </c>
      <c r="S8" s="82"/>
      <c r="T8" s="109">
        <v>1050</v>
      </c>
      <c r="U8" s="51">
        <f>645+20</f>
        <v>665</v>
      </c>
      <c r="V8" s="51">
        <f>ROUND(U8*100/T8,1)</f>
        <v>63.3</v>
      </c>
      <c r="W8" s="52">
        <f>U8*0.4</f>
        <v>266</v>
      </c>
      <c r="X8" s="52">
        <v>270</v>
      </c>
      <c r="Y8" s="134">
        <v>0</v>
      </c>
    </row>
    <row r="9" spans="1:25" s="19" customFormat="1" ht="23.25" customHeight="1" x14ac:dyDescent="0.25">
      <c r="A9" s="45">
        <v>2</v>
      </c>
      <c r="B9" s="47" t="s">
        <v>49</v>
      </c>
      <c r="C9" s="45">
        <f>390+1125</f>
        <v>1515</v>
      </c>
      <c r="D9" s="45">
        <f>795+16+165+12</f>
        <v>988</v>
      </c>
      <c r="E9" s="45">
        <f>ROUND(D9*100/C9,1)</f>
        <v>65.2</v>
      </c>
      <c r="F9" s="45">
        <f>D9*0.4</f>
        <v>395.20000000000005</v>
      </c>
      <c r="G9" s="45">
        <v>270</v>
      </c>
      <c r="H9" s="67">
        <f t="shared" ref="H9:H39" si="0">ROUND((F9-G9)/30,0)</f>
        <v>4</v>
      </c>
      <c r="I9" s="73" t="s">
        <v>21</v>
      </c>
      <c r="J9" s="85"/>
      <c r="K9" s="80">
        <f>795+16+165+12</f>
        <v>988</v>
      </c>
      <c r="L9" s="45">
        <f>390+1125</f>
        <v>1515</v>
      </c>
      <c r="M9" s="67">
        <f t="shared" ref="M9:M34" si="1">K9+90</f>
        <v>1078</v>
      </c>
      <c r="N9" s="45">
        <f t="shared" ref="N9:N34" si="2">ROUND(M9*100/L9,1)</f>
        <v>71.2</v>
      </c>
      <c r="O9" s="45">
        <f t="shared" ref="O9:O34" si="3">M9*0.4</f>
        <v>431.20000000000005</v>
      </c>
      <c r="P9" s="45">
        <v>270</v>
      </c>
      <c r="Q9" s="67">
        <v>6</v>
      </c>
      <c r="R9" s="101">
        <f t="shared" ref="R9:R34" si="4">Q9-Y9</f>
        <v>4</v>
      </c>
      <c r="S9" s="82"/>
      <c r="T9" s="93">
        <v>1125</v>
      </c>
      <c r="U9" s="52">
        <f>795+16</f>
        <v>811</v>
      </c>
      <c r="V9" s="51">
        <f>ROUND(U9*100/T9,1)</f>
        <v>72.099999999999994</v>
      </c>
      <c r="W9" s="52">
        <f>U9*0.4</f>
        <v>324.40000000000003</v>
      </c>
      <c r="X9" s="52">
        <v>270</v>
      </c>
      <c r="Y9" s="134">
        <v>2</v>
      </c>
    </row>
    <row r="10" spans="1:25" s="19" customFormat="1" ht="23.25" customHeight="1" x14ac:dyDescent="0.25">
      <c r="A10" s="45">
        <v>3</v>
      </c>
      <c r="B10" s="47" t="s">
        <v>50</v>
      </c>
      <c r="C10" s="45">
        <f>1095+390</f>
        <v>1485</v>
      </c>
      <c r="D10" s="45">
        <f>165+12+735+18</f>
        <v>930</v>
      </c>
      <c r="E10" s="45">
        <f>ROUND(D10*100/C10,1)</f>
        <v>62.6</v>
      </c>
      <c r="F10" s="45">
        <f>D10*0.4</f>
        <v>372</v>
      </c>
      <c r="G10" s="45">
        <v>270</v>
      </c>
      <c r="H10" s="67">
        <f t="shared" si="0"/>
        <v>3</v>
      </c>
      <c r="I10" s="73" t="s">
        <v>20</v>
      </c>
      <c r="J10" s="85"/>
      <c r="K10" s="80">
        <f>165+12+735+18</f>
        <v>930</v>
      </c>
      <c r="L10" s="45">
        <f>1095+390</f>
        <v>1485</v>
      </c>
      <c r="M10" s="67">
        <f t="shared" si="1"/>
        <v>1020</v>
      </c>
      <c r="N10" s="45">
        <f t="shared" si="2"/>
        <v>68.7</v>
      </c>
      <c r="O10" s="45">
        <f t="shared" si="3"/>
        <v>408</v>
      </c>
      <c r="P10" s="45">
        <v>270</v>
      </c>
      <c r="Q10" s="67">
        <v>5</v>
      </c>
      <c r="R10" s="101">
        <f t="shared" si="4"/>
        <v>4</v>
      </c>
      <c r="S10" s="82"/>
      <c r="T10" s="93">
        <v>1095</v>
      </c>
      <c r="U10" s="52">
        <v>735</v>
      </c>
      <c r="V10" s="51">
        <f>ROUND(U10*100/T10,1)</f>
        <v>67.099999999999994</v>
      </c>
      <c r="W10" s="52">
        <f>U10*0.4</f>
        <v>294</v>
      </c>
      <c r="X10" s="52">
        <v>270</v>
      </c>
      <c r="Y10" s="134">
        <v>1</v>
      </c>
    </row>
    <row r="11" spans="1:25" s="19" customFormat="1" ht="23.25" customHeight="1" x14ac:dyDescent="0.25">
      <c r="A11" s="45">
        <v>4</v>
      </c>
      <c r="B11" s="47" t="s">
        <v>51</v>
      </c>
      <c r="C11" s="45"/>
      <c r="D11" s="45"/>
      <c r="E11" s="45"/>
      <c r="F11" s="45"/>
      <c r="G11" s="45"/>
      <c r="H11" s="67"/>
      <c r="I11" s="73"/>
      <c r="J11" s="85"/>
      <c r="K11" s="80"/>
      <c r="L11" s="45"/>
      <c r="M11" s="67"/>
      <c r="N11" s="45"/>
      <c r="O11" s="45"/>
      <c r="P11" s="45"/>
      <c r="Q11" s="67"/>
      <c r="R11" s="101"/>
      <c r="S11" s="82"/>
      <c r="T11" s="93"/>
      <c r="U11" s="52"/>
      <c r="V11" s="51"/>
      <c r="W11" s="52"/>
      <c r="X11" s="52"/>
      <c r="Y11" s="134"/>
    </row>
    <row r="12" spans="1:25" s="19" customFormat="1" ht="23.25" customHeight="1" x14ac:dyDescent="0.25">
      <c r="A12" s="45">
        <v>5</v>
      </c>
      <c r="B12" s="47" t="s">
        <v>52</v>
      </c>
      <c r="C12" s="45">
        <f>390+1125</f>
        <v>1515</v>
      </c>
      <c r="D12" s="45">
        <f>165+12+795+16</f>
        <v>988</v>
      </c>
      <c r="E12" s="45">
        <f>ROUND(D12*100/C12,1)</f>
        <v>65.2</v>
      </c>
      <c r="F12" s="45">
        <f>D12*0.4</f>
        <v>395.20000000000005</v>
      </c>
      <c r="G12" s="45">
        <v>270</v>
      </c>
      <c r="H12" s="67">
        <f t="shared" si="0"/>
        <v>4</v>
      </c>
      <c r="I12" s="73" t="s">
        <v>21</v>
      </c>
      <c r="J12" s="85"/>
      <c r="K12" s="80">
        <f>165+12+795+16</f>
        <v>988</v>
      </c>
      <c r="L12" s="45">
        <f>390+1125</f>
        <v>1515</v>
      </c>
      <c r="M12" s="67">
        <f t="shared" si="1"/>
        <v>1078</v>
      </c>
      <c r="N12" s="45">
        <f t="shared" si="2"/>
        <v>71.2</v>
      </c>
      <c r="O12" s="45">
        <f t="shared" si="3"/>
        <v>431.20000000000005</v>
      </c>
      <c r="P12" s="45">
        <v>270</v>
      </c>
      <c r="Q12" s="67">
        <v>6</v>
      </c>
      <c r="R12" s="101">
        <f t="shared" si="4"/>
        <v>4</v>
      </c>
      <c r="S12" s="82"/>
      <c r="T12" s="93">
        <v>1125</v>
      </c>
      <c r="U12" s="52">
        <v>811</v>
      </c>
      <c r="V12" s="51">
        <f>ROUND(U12*100/T12,1)</f>
        <v>72.099999999999994</v>
      </c>
      <c r="W12" s="52">
        <f>U12*0.4</f>
        <v>324.40000000000003</v>
      </c>
      <c r="X12" s="52">
        <v>270</v>
      </c>
      <c r="Y12" s="134">
        <v>2</v>
      </c>
    </row>
    <row r="13" spans="1:25" s="19" customFormat="1" ht="23.25" customHeight="1" x14ac:dyDescent="0.25">
      <c r="A13" s="45">
        <v>6</v>
      </c>
      <c r="B13" s="47" t="s">
        <v>53</v>
      </c>
      <c r="C13" s="45"/>
      <c r="D13" s="45"/>
      <c r="E13" s="49"/>
      <c r="F13" s="45"/>
      <c r="G13" s="45"/>
      <c r="H13" s="67"/>
      <c r="I13" s="74"/>
      <c r="J13" s="85"/>
      <c r="K13" s="80"/>
      <c r="L13" s="45"/>
      <c r="M13" s="67"/>
      <c r="N13" s="45"/>
      <c r="O13" s="45"/>
      <c r="P13" s="45"/>
      <c r="Q13" s="67"/>
      <c r="R13" s="101"/>
      <c r="S13" s="82"/>
      <c r="T13" s="109"/>
      <c r="U13" s="51"/>
      <c r="V13" s="51"/>
      <c r="W13" s="52"/>
      <c r="X13" s="52"/>
      <c r="Y13" s="134"/>
    </row>
    <row r="14" spans="1:25" s="19" customFormat="1" ht="23.25" customHeight="1" x14ac:dyDescent="0.25">
      <c r="A14" s="45">
        <v>7</v>
      </c>
      <c r="B14" s="47" t="s">
        <v>54</v>
      </c>
      <c r="C14" s="45">
        <f>390+1065</f>
        <v>1455</v>
      </c>
      <c r="D14" s="45">
        <f>165+12+675+22</f>
        <v>874</v>
      </c>
      <c r="E14" s="45">
        <f>ROUND(D14*100/C14,1)</f>
        <v>60.1</v>
      </c>
      <c r="F14" s="45">
        <f>D14*0.4</f>
        <v>349.6</v>
      </c>
      <c r="G14" s="45">
        <v>270</v>
      </c>
      <c r="H14" s="67">
        <f t="shared" si="0"/>
        <v>3</v>
      </c>
      <c r="I14" s="73" t="s">
        <v>22</v>
      </c>
      <c r="J14" s="85"/>
      <c r="K14" s="80">
        <f>165+12+675+22</f>
        <v>874</v>
      </c>
      <c r="L14" s="45">
        <f>390+1065</f>
        <v>1455</v>
      </c>
      <c r="M14" s="67">
        <f t="shared" si="1"/>
        <v>964</v>
      </c>
      <c r="N14" s="45">
        <f t="shared" si="2"/>
        <v>66.3</v>
      </c>
      <c r="O14" s="45">
        <f t="shared" si="3"/>
        <v>385.6</v>
      </c>
      <c r="P14" s="45">
        <v>270</v>
      </c>
      <c r="Q14" s="67">
        <v>4</v>
      </c>
      <c r="R14" s="101">
        <f t="shared" si="4"/>
        <v>4</v>
      </c>
      <c r="S14" s="82"/>
      <c r="T14" s="93">
        <v>1065</v>
      </c>
      <c r="U14" s="52">
        <f>675+22</f>
        <v>697</v>
      </c>
      <c r="V14" s="51">
        <f>ROUND(U14*100/T14,1)</f>
        <v>65.400000000000006</v>
      </c>
      <c r="W14" s="52">
        <f>U14*0.4</f>
        <v>278.8</v>
      </c>
      <c r="X14" s="52">
        <v>270</v>
      </c>
      <c r="Y14" s="134">
        <v>0</v>
      </c>
    </row>
    <row r="15" spans="1:25" s="19" customFormat="1" ht="23.25" customHeight="1" x14ac:dyDescent="0.25">
      <c r="A15" s="45">
        <v>8</v>
      </c>
      <c r="B15" s="47" t="s">
        <v>55</v>
      </c>
      <c r="C15" s="45">
        <f>390+1110</f>
        <v>1500</v>
      </c>
      <c r="D15" s="45">
        <f>765+20+165+12</f>
        <v>962</v>
      </c>
      <c r="E15" s="45">
        <f>ROUND(D15*100/C15,1)</f>
        <v>64.099999999999994</v>
      </c>
      <c r="F15" s="45">
        <f>D15*0.4</f>
        <v>384.8</v>
      </c>
      <c r="G15" s="45">
        <v>270</v>
      </c>
      <c r="H15" s="67">
        <f t="shared" si="0"/>
        <v>4</v>
      </c>
      <c r="I15" s="73" t="s">
        <v>19</v>
      </c>
      <c r="J15" s="85"/>
      <c r="K15" s="80">
        <f>765+20+165+12</f>
        <v>962</v>
      </c>
      <c r="L15" s="45">
        <f>390+1110</f>
        <v>1500</v>
      </c>
      <c r="M15" s="67">
        <f t="shared" si="1"/>
        <v>1052</v>
      </c>
      <c r="N15" s="45">
        <f t="shared" si="2"/>
        <v>70.099999999999994</v>
      </c>
      <c r="O15" s="45">
        <f t="shared" si="3"/>
        <v>420.8</v>
      </c>
      <c r="P15" s="45">
        <v>270</v>
      </c>
      <c r="Q15" s="67">
        <v>5</v>
      </c>
      <c r="R15" s="101">
        <f t="shared" si="4"/>
        <v>3</v>
      </c>
      <c r="S15" s="82"/>
      <c r="T15" s="93">
        <v>1110</v>
      </c>
      <c r="U15" s="52">
        <f>765+20</f>
        <v>785</v>
      </c>
      <c r="V15" s="51">
        <f>ROUND(U15*100/T15,1)</f>
        <v>70.7</v>
      </c>
      <c r="W15" s="52">
        <f>U15*0.4</f>
        <v>314</v>
      </c>
      <c r="X15" s="52">
        <v>270</v>
      </c>
      <c r="Y15" s="134">
        <v>2</v>
      </c>
    </row>
    <row r="16" spans="1:25" s="19" customFormat="1" ht="23.25" customHeight="1" x14ac:dyDescent="0.25">
      <c r="A16" s="45">
        <v>9</v>
      </c>
      <c r="B16" s="47" t="s">
        <v>0</v>
      </c>
      <c r="C16" s="45">
        <f>390+1080</f>
        <v>1470</v>
      </c>
      <c r="D16" s="45">
        <f>705+16+165+12</f>
        <v>898</v>
      </c>
      <c r="E16" s="45">
        <f>ROUND(D16*100/C16,1)</f>
        <v>61.1</v>
      </c>
      <c r="F16" s="45">
        <f>D16*0.4</f>
        <v>359.20000000000005</v>
      </c>
      <c r="G16" s="45">
        <v>270</v>
      </c>
      <c r="H16" s="67">
        <f t="shared" si="0"/>
        <v>3</v>
      </c>
      <c r="I16" s="73" t="s">
        <v>5</v>
      </c>
      <c r="J16" s="85"/>
      <c r="K16" s="80">
        <f>705+16+165+12</f>
        <v>898</v>
      </c>
      <c r="L16" s="45">
        <f>390+1080</f>
        <v>1470</v>
      </c>
      <c r="M16" s="67">
        <f t="shared" si="1"/>
        <v>988</v>
      </c>
      <c r="N16" s="45">
        <f t="shared" si="2"/>
        <v>67.2</v>
      </c>
      <c r="O16" s="45">
        <f t="shared" si="3"/>
        <v>395.20000000000005</v>
      </c>
      <c r="P16" s="45">
        <v>270</v>
      </c>
      <c r="Q16" s="67">
        <v>5</v>
      </c>
      <c r="R16" s="101">
        <f t="shared" si="4"/>
        <v>4</v>
      </c>
      <c r="S16" s="82"/>
      <c r="T16" s="93">
        <v>1080</v>
      </c>
      <c r="U16" s="52">
        <f>705+16</f>
        <v>721</v>
      </c>
      <c r="V16" s="51">
        <f>ROUND(U16*100/T16,1)</f>
        <v>66.8</v>
      </c>
      <c r="W16" s="52">
        <f>U16*0.4</f>
        <v>288.40000000000003</v>
      </c>
      <c r="X16" s="52">
        <v>270</v>
      </c>
      <c r="Y16" s="134">
        <v>1</v>
      </c>
    </row>
    <row r="17" spans="1:25" s="19" customFormat="1" ht="23.25" customHeight="1" x14ac:dyDescent="0.25">
      <c r="A17" s="45">
        <v>10</v>
      </c>
      <c r="B17" s="47" t="s">
        <v>56</v>
      </c>
      <c r="C17" s="45">
        <f>1110+390</f>
        <v>1500</v>
      </c>
      <c r="D17" s="45">
        <f>165+12+765+16</f>
        <v>958</v>
      </c>
      <c r="E17" s="45">
        <f>ROUND(D17*100/C17,1)</f>
        <v>63.9</v>
      </c>
      <c r="F17" s="45">
        <f>D17*0.4</f>
        <v>383.20000000000005</v>
      </c>
      <c r="G17" s="45">
        <v>270</v>
      </c>
      <c r="H17" s="67">
        <f t="shared" si="0"/>
        <v>4</v>
      </c>
      <c r="I17" s="73" t="s">
        <v>5</v>
      </c>
      <c r="J17" s="85"/>
      <c r="K17" s="80">
        <f>165+12+765+16</f>
        <v>958</v>
      </c>
      <c r="L17" s="45">
        <f>1110+390</f>
        <v>1500</v>
      </c>
      <c r="M17" s="67">
        <f t="shared" si="1"/>
        <v>1048</v>
      </c>
      <c r="N17" s="45">
        <f t="shared" si="2"/>
        <v>69.900000000000006</v>
      </c>
      <c r="O17" s="45">
        <f t="shared" si="3"/>
        <v>419.20000000000005</v>
      </c>
      <c r="P17" s="45">
        <v>270</v>
      </c>
      <c r="Q17" s="67">
        <v>5</v>
      </c>
      <c r="R17" s="101">
        <f t="shared" si="4"/>
        <v>3</v>
      </c>
      <c r="S17" s="82"/>
      <c r="T17" s="93">
        <v>1110</v>
      </c>
      <c r="U17" s="52">
        <f>765+16</f>
        <v>781</v>
      </c>
      <c r="V17" s="51">
        <f>ROUND(U17*100/T17,1)</f>
        <v>70.400000000000006</v>
      </c>
      <c r="W17" s="52">
        <f>U17*0.4</f>
        <v>312.40000000000003</v>
      </c>
      <c r="X17" s="52">
        <v>270</v>
      </c>
      <c r="Y17" s="134">
        <v>2</v>
      </c>
    </row>
    <row r="18" spans="1:25" s="19" customFormat="1" ht="23.25" customHeight="1" x14ac:dyDescent="0.25">
      <c r="A18" s="45">
        <v>11</v>
      </c>
      <c r="B18" s="47" t="s">
        <v>112</v>
      </c>
      <c r="C18" s="45"/>
      <c r="D18" s="45"/>
      <c r="E18" s="45"/>
      <c r="F18" s="45"/>
      <c r="G18" s="45"/>
      <c r="H18" s="67"/>
      <c r="I18" s="74"/>
      <c r="J18" s="85"/>
      <c r="K18" s="80"/>
      <c r="L18" s="45"/>
      <c r="M18" s="67"/>
      <c r="N18" s="45"/>
      <c r="O18" s="45"/>
      <c r="P18" s="45"/>
      <c r="Q18" s="67"/>
      <c r="R18" s="101"/>
      <c r="S18" s="82"/>
      <c r="T18" s="93"/>
      <c r="U18" s="52"/>
      <c r="V18" s="51"/>
      <c r="W18" s="52"/>
      <c r="X18" s="52"/>
      <c r="Y18" s="134"/>
    </row>
    <row r="19" spans="1:25" s="19" customFormat="1" ht="23.25" customHeight="1" x14ac:dyDescent="0.25">
      <c r="A19" s="45">
        <v>12</v>
      </c>
      <c r="B19" s="47" t="s">
        <v>57</v>
      </c>
      <c r="C19" s="45"/>
      <c r="D19" s="45"/>
      <c r="E19" s="49"/>
      <c r="F19" s="45"/>
      <c r="G19" s="45"/>
      <c r="H19" s="67"/>
      <c r="I19" s="74"/>
      <c r="J19" s="85"/>
      <c r="K19" s="80"/>
      <c r="L19" s="45"/>
      <c r="M19" s="67"/>
      <c r="N19" s="45"/>
      <c r="O19" s="45"/>
      <c r="P19" s="45"/>
      <c r="Q19" s="67"/>
      <c r="R19" s="101"/>
      <c r="S19" s="82"/>
      <c r="T19" s="109"/>
      <c r="U19" s="51"/>
      <c r="V19" s="51"/>
      <c r="W19" s="52"/>
      <c r="X19" s="52"/>
      <c r="Y19" s="134"/>
    </row>
    <row r="20" spans="1:25" s="19" customFormat="1" ht="23.25" customHeight="1" x14ac:dyDescent="0.25">
      <c r="A20" s="45">
        <v>13</v>
      </c>
      <c r="B20" s="47" t="s">
        <v>58</v>
      </c>
      <c r="C20" s="45"/>
      <c r="D20" s="45"/>
      <c r="E20" s="45"/>
      <c r="F20" s="45"/>
      <c r="G20" s="45"/>
      <c r="H20" s="67"/>
      <c r="I20" s="74"/>
      <c r="J20" s="85"/>
      <c r="K20" s="80"/>
      <c r="L20" s="45"/>
      <c r="M20" s="67"/>
      <c r="N20" s="45"/>
      <c r="O20" s="45"/>
      <c r="P20" s="45"/>
      <c r="Q20" s="67"/>
      <c r="R20" s="101"/>
      <c r="S20" s="82"/>
      <c r="T20" s="93"/>
      <c r="U20" s="52"/>
      <c r="V20" s="51"/>
      <c r="W20" s="52"/>
      <c r="X20" s="52"/>
      <c r="Y20" s="134"/>
    </row>
    <row r="21" spans="1:25" s="19" customFormat="1" ht="23.25" customHeight="1" x14ac:dyDescent="0.25">
      <c r="A21" s="45">
        <v>14</v>
      </c>
      <c r="B21" s="47" t="s">
        <v>59</v>
      </c>
      <c r="C21" s="45">
        <f>390+1065</f>
        <v>1455</v>
      </c>
      <c r="D21" s="45">
        <f>675+16+165+12</f>
        <v>868</v>
      </c>
      <c r="E21" s="50">
        <f>ROUND(D21*100/C21,1)</f>
        <v>59.7</v>
      </c>
      <c r="F21" s="45">
        <f>D21*0.4</f>
        <v>347.20000000000005</v>
      </c>
      <c r="G21" s="45">
        <v>270</v>
      </c>
      <c r="H21" s="67">
        <f t="shared" si="0"/>
        <v>3</v>
      </c>
      <c r="I21" s="73" t="s">
        <v>5</v>
      </c>
      <c r="J21" s="85"/>
      <c r="K21" s="80">
        <f>675+16+165+12</f>
        <v>868</v>
      </c>
      <c r="L21" s="45">
        <f>390+1065</f>
        <v>1455</v>
      </c>
      <c r="M21" s="67">
        <f t="shared" si="1"/>
        <v>958</v>
      </c>
      <c r="N21" s="45">
        <f t="shared" si="2"/>
        <v>65.8</v>
      </c>
      <c r="O21" s="45">
        <f t="shared" si="3"/>
        <v>383.20000000000005</v>
      </c>
      <c r="P21" s="45">
        <v>270</v>
      </c>
      <c r="Q21" s="67">
        <v>4</v>
      </c>
      <c r="R21" s="101">
        <f t="shared" si="4"/>
        <v>3</v>
      </c>
      <c r="S21" s="82"/>
      <c r="T21" s="93">
        <v>1065</v>
      </c>
      <c r="U21" s="52">
        <f>675+16</f>
        <v>691</v>
      </c>
      <c r="V21" s="51">
        <f>ROUND(U21*100/T21,1)</f>
        <v>64.900000000000006</v>
      </c>
      <c r="W21" s="52">
        <f>U21*0.4</f>
        <v>276.40000000000003</v>
      </c>
      <c r="X21" s="52">
        <v>270</v>
      </c>
      <c r="Y21" s="134">
        <v>1</v>
      </c>
    </row>
    <row r="22" spans="1:25" s="19" customFormat="1" ht="23.25" customHeight="1" x14ac:dyDescent="0.25">
      <c r="A22" s="45">
        <v>15</v>
      </c>
      <c r="B22" s="47" t="s">
        <v>60</v>
      </c>
      <c r="C22" s="45"/>
      <c r="D22" s="45"/>
      <c r="E22" s="45"/>
      <c r="F22" s="45"/>
      <c r="G22" s="45"/>
      <c r="H22" s="67"/>
      <c r="I22" s="74"/>
      <c r="J22" s="85"/>
      <c r="K22" s="80"/>
      <c r="L22" s="45"/>
      <c r="M22" s="67"/>
      <c r="N22" s="45"/>
      <c r="O22" s="45"/>
      <c r="P22" s="45"/>
      <c r="Q22" s="67"/>
      <c r="R22" s="101"/>
      <c r="S22" s="82"/>
      <c r="T22" s="93"/>
      <c r="U22" s="52"/>
      <c r="V22" s="51"/>
      <c r="W22" s="52"/>
      <c r="X22" s="52"/>
      <c r="Y22" s="134"/>
    </row>
    <row r="23" spans="1:25" s="19" customFormat="1" ht="31.5" customHeight="1" x14ac:dyDescent="0.25">
      <c r="A23" s="45">
        <v>16</v>
      </c>
      <c r="B23" s="47" t="s">
        <v>61</v>
      </c>
      <c r="C23" s="45">
        <f>1140+390</f>
        <v>1530</v>
      </c>
      <c r="D23" s="45">
        <f>165+12+825+30</f>
        <v>1032</v>
      </c>
      <c r="E23" s="45">
        <f t="shared" ref="E23:E34" si="5">ROUND(D23*100/C23,1)</f>
        <v>67.5</v>
      </c>
      <c r="F23" s="45">
        <f t="shared" ref="F23:F34" si="6">D23*0.4</f>
        <v>412.8</v>
      </c>
      <c r="G23" s="45">
        <v>270</v>
      </c>
      <c r="H23" s="67">
        <f t="shared" si="0"/>
        <v>5</v>
      </c>
      <c r="I23" s="76" t="s">
        <v>25</v>
      </c>
      <c r="J23" s="85"/>
      <c r="K23" s="80">
        <f>165+12+825+30</f>
        <v>1032</v>
      </c>
      <c r="L23" s="45">
        <f>1140+390</f>
        <v>1530</v>
      </c>
      <c r="M23" s="67">
        <f t="shared" si="1"/>
        <v>1122</v>
      </c>
      <c r="N23" s="45">
        <f t="shared" si="2"/>
        <v>73.3</v>
      </c>
      <c r="O23" s="45">
        <f t="shared" si="3"/>
        <v>448.8</v>
      </c>
      <c r="P23" s="45">
        <v>270</v>
      </c>
      <c r="Q23" s="67">
        <v>6</v>
      </c>
      <c r="R23" s="101">
        <f t="shared" si="4"/>
        <v>3</v>
      </c>
      <c r="S23" s="82"/>
      <c r="T23" s="93">
        <v>1140</v>
      </c>
      <c r="U23" s="52">
        <f>825+30</f>
        <v>855</v>
      </c>
      <c r="V23" s="51">
        <f t="shared" ref="V23:V34" si="7">ROUND(U23*100/T23,1)</f>
        <v>75</v>
      </c>
      <c r="W23" s="52">
        <f t="shared" ref="W23:W34" si="8">U23*0.4</f>
        <v>342</v>
      </c>
      <c r="X23" s="52">
        <v>270</v>
      </c>
      <c r="Y23" s="134">
        <v>3</v>
      </c>
    </row>
    <row r="24" spans="1:25" s="19" customFormat="1" ht="31.5" customHeight="1" x14ac:dyDescent="0.25">
      <c r="A24" s="45">
        <v>17</v>
      </c>
      <c r="B24" s="47" t="s">
        <v>62</v>
      </c>
      <c r="C24" s="45">
        <f>390+1140</f>
        <v>1530</v>
      </c>
      <c r="D24" s="45">
        <f>825+30+165+12</f>
        <v>1032</v>
      </c>
      <c r="E24" s="49">
        <f t="shared" si="5"/>
        <v>67.5</v>
      </c>
      <c r="F24" s="45">
        <f t="shared" si="6"/>
        <v>412.8</v>
      </c>
      <c r="G24" s="45">
        <v>270</v>
      </c>
      <c r="H24" s="67">
        <f t="shared" si="0"/>
        <v>5</v>
      </c>
      <c r="I24" s="76" t="s">
        <v>24</v>
      </c>
      <c r="J24" s="85"/>
      <c r="K24" s="80">
        <f>825+30+165+12</f>
        <v>1032</v>
      </c>
      <c r="L24" s="45">
        <f>390+1140</f>
        <v>1530</v>
      </c>
      <c r="M24" s="67">
        <f t="shared" si="1"/>
        <v>1122</v>
      </c>
      <c r="N24" s="45">
        <f t="shared" si="2"/>
        <v>73.3</v>
      </c>
      <c r="O24" s="45">
        <f t="shared" si="3"/>
        <v>448.8</v>
      </c>
      <c r="P24" s="45">
        <v>270</v>
      </c>
      <c r="Q24" s="67">
        <v>6</v>
      </c>
      <c r="R24" s="101">
        <f t="shared" si="4"/>
        <v>3</v>
      </c>
      <c r="S24" s="82"/>
      <c r="T24" s="109">
        <v>1140</v>
      </c>
      <c r="U24" s="51">
        <f>825+30</f>
        <v>855</v>
      </c>
      <c r="V24" s="51">
        <f t="shared" si="7"/>
        <v>75</v>
      </c>
      <c r="W24" s="52">
        <f t="shared" si="8"/>
        <v>342</v>
      </c>
      <c r="X24" s="52">
        <v>270</v>
      </c>
      <c r="Y24" s="134">
        <v>3</v>
      </c>
    </row>
    <row r="25" spans="1:25" s="19" customFormat="1" ht="31.5" customHeight="1" x14ac:dyDescent="0.25">
      <c r="A25" s="45">
        <v>18</v>
      </c>
      <c r="B25" s="47" t="s">
        <v>63</v>
      </c>
      <c r="C25" s="45">
        <f>390+1140</f>
        <v>1530</v>
      </c>
      <c r="D25" s="45">
        <f>165+12+825+30</f>
        <v>1032</v>
      </c>
      <c r="E25" s="45">
        <f t="shared" si="5"/>
        <v>67.5</v>
      </c>
      <c r="F25" s="45">
        <f t="shared" si="6"/>
        <v>412.8</v>
      </c>
      <c r="G25" s="45">
        <v>270</v>
      </c>
      <c r="H25" s="67">
        <f t="shared" si="0"/>
        <v>5</v>
      </c>
      <c r="I25" s="76" t="s">
        <v>29</v>
      </c>
      <c r="J25" s="85"/>
      <c r="K25" s="80">
        <f>165+12+825+30</f>
        <v>1032</v>
      </c>
      <c r="L25" s="45">
        <f>390+1140</f>
        <v>1530</v>
      </c>
      <c r="M25" s="67">
        <f t="shared" si="1"/>
        <v>1122</v>
      </c>
      <c r="N25" s="45">
        <f t="shared" si="2"/>
        <v>73.3</v>
      </c>
      <c r="O25" s="45">
        <f t="shared" si="3"/>
        <v>448.8</v>
      </c>
      <c r="P25" s="45">
        <v>270</v>
      </c>
      <c r="Q25" s="67">
        <v>6</v>
      </c>
      <c r="R25" s="101">
        <f t="shared" si="4"/>
        <v>3</v>
      </c>
      <c r="S25" s="82"/>
      <c r="T25" s="93">
        <v>1140</v>
      </c>
      <c r="U25" s="52">
        <f>825+30</f>
        <v>855</v>
      </c>
      <c r="V25" s="51">
        <f t="shared" si="7"/>
        <v>75</v>
      </c>
      <c r="W25" s="52">
        <f t="shared" si="8"/>
        <v>342</v>
      </c>
      <c r="X25" s="52">
        <v>270</v>
      </c>
      <c r="Y25" s="134">
        <v>3</v>
      </c>
    </row>
    <row r="26" spans="1:25" s="19" customFormat="1" ht="31.5" customHeight="1" x14ac:dyDescent="0.25">
      <c r="A26" s="45">
        <v>19</v>
      </c>
      <c r="B26" s="47" t="s">
        <v>64</v>
      </c>
      <c r="C26" s="45">
        <f>390+1140</f>
        <v>1530</v>
      </c>
      <c r="D26" s="45">
        <f>165+12+825+30</f>
        <v>1032</v>
      </c>
      <c r="E26" s="45">
        <f t="shared" si="5"/>
        <v>67.5</v>
      </c>
      <c r="F26" s="45">
        <f t="shared" si="6"/>
        <v>412.8</v>
      </c>
      <c r="G26" s="45">
        <v>270</v>
      </c>
      <c r="H26" s="67">
        <f t="shared" si="0"/>
        <v>5</v>
      </c>
      <c r="I26" s="76" t="s">
        <v>23</v>
      </c>
      <c r="J26" s="85"/>
      <c r="K26" s="80">
        <f>165+12+825+30</f>
        <v>1032</v>
      </c>
      <c r="L26" s="45">
        <f>390+1140</f>
        <v>1530</v>
      </c>
      <c r="M26" s="67">
        <f t="shared" si="1"/>
        <v>1122</v>
      </c>
      <c r="N26" s="45">
        <f t="shared" si="2"/>
        <v>73.3</v>
      </c>
      <c r="O26" s="45">
        <f t="shared" si="3"/>
        <v>448.8</v>
      </c>
      <c r="P26" s="45">
        <v>270</v>
      </c>
      <c r="Q26" s="67">
        <v>6</v>
      </c>
      <c r="R26" s="101">
        <f t="shared" si="4"/>
        <v>3</v>
      </c>
      <c r="S26" s="82"/>
      <c r="T26" s="93">
        <v>1140</v>
      </c>
      <c r="U26" s="52">
        <f>825+30</f>
        <v>855</v>
      </c>
      <c r="V26" s="51">
        <f t="shared" si="7"/>
        <v>75</v>
      </c>
      <c r="W26" s="52">
        <f t="shared" si="8"/>
        <v>342</v>
      </c>
      <c r="X26" s="52">
        <v>270</v>
      </c>
      <c r="Y26" s="134">
        <v>3</v>
      </c>
    </row>
    <row r="27" spans="1:25" s="19" customFormat="1" ht="31.5" customHeight="1" x14ac:dyDescent="0.25">
      <c r="A27" s="45">
        <v>20</v>
      </c>
      <c r="B27" s="47" t="s">
        <v>65</v>
      </c>
      <c r="C27" s="45">
        <f>1125+390</f>
        <v>1515</v>
      </c>
      <c r="D27" s="45">
        <f>165+12+795+22</f>
        <v>994</v>
      </c>
      <c r="E27" s="45">
        <f t="shared" si="5"/>
        <v>65.599999999999994</v>
      </c>
      <c r="F27" s="45">
        <f t="shared" si="6"/>
        <v>397.6</v>
      </c>
      <c r="G27" s="45">
        <v>270</v>
      </c>
      <c r="H27" s="67">
        <f t="shared" si="0"/>
        <v>4</v>
      </c>
      <c r="I27" s="76" t="s">
        <v>26</v>
      </c>
      <c r="J27" s="85"/>
      <c r="K27" s="80">
        <f>165+12+795+22</f>
        <v>994</v>
      </c>
      <c r="L27" s="45">
        <f>1125+390</f>
        <v>1515</v>
      </c>
      <c r="M27" s="67">
        <f t="shared" si="1"/>
        <v>1084</v>
      </c>
      <c r="N27" s="45">
        <f t="shared" si="2"/>
        <v>71.599999999999994</v>
      </c>
      <c r="O27" s="45">
        <f t="shared" si="3"/>
        <v>433.6</v>
      </c>
      <c r="P27" s="45">
        <v>270</v>
      </c>
      <c r="Q27" s="67">
        <v>6</v>
      </c>
      <c r="R27" s="101">
        <f t="shared" si="4"/>
        <v>4</v>
      </c>
      <c r="S27" s="82"/>
      <c r="T27" s="93">
        <v>1125</v>
      </c>
      <c r="U27" s="52">
        <v>817</v>
      </c>
      <c r="V27" s="51">
        <f t="shared" si="7"/>
        <v>72.599999999999994</v>
      </c>
      <c r="W27" s="52">
        <f t="shared" si="8"/>
        <v>326.8</v>
      </c>
      <c r="X27" s="52">
        <v>270</v>
      </c>
      <c r="Y27" s="134">
        <v>2</v>
      </c>
    </row>
    <row r="28" spans="1:25" s="19" customFormat="1" ht="31.5" customHeight="1" x14ac:dyDescent="0.25">
      <c r="A28" s="45">
        <v>21</v>
      </c>
      <c r="B28" s="47" t="s">
        <v>66</v>
      </c>
      <c r="C28" s="45">
        <f>390+315+735+90</f>
        <v>1530</v>
      </c>
      <c r="D28" s="45">
        <f>165+12+210+10+555+14+60+2</f>
        <v>1028</v>
      </c>
      <c r="E28" s="45">
        <f t="shared" si="5"/>
        <v>67.2</v>
      </c>
      <c r="F28" s="45">
        <f t="shared" si="6"/>
        <v>411.20000000000005</v>
      </c>
      <c r="G28" s="45">
        <v>270</v>
      </c>
      <c r="H28" s="67">
        <f t="shared" si="0"/>
        <v>5</v>
      </c>
      <c r="I28" s="76" t="s">
        <v>28</v>
      </c>
      <c r="J28" s="85"/>
      <c r="K28" s="80">
        <f>165+12+210+10+555+14+60+2</f>
        <v>1028</v>
      </c>
      <c r="L28" s="45">
        <f>390+315+735+90</f>
        <v>1530</v>
      </c>
      <c r="M28" s="67">
        <f t="shared" si="1"/>
        <v>1118</v>
      </c>
      <c r="N28" s="45">
        <f t="shared" si="2"/>
        <v>73.099999999999994</v>
      </c>
      <c r="O28" s="45">
        <f t="shared" si="3"/>
        <v>447.20000000000005</v>
      </c>
      <c r="P28" s="45">
        <v>270</v>
      </c>
      <c r="Q28" s="67">
        <v>6</v>
      </c>
      <c r="R28" s="101">
        <f t="shared" si="4"/>
        <v>3</v>
      </c>
      <c r="S28" s="82"/>
      <c r="T28" s="93">
        <v>1140</v>
      </c>
      <c r="U28" s="52">
        <v>851</v>
      </c>
      <c r="V28" s="51">
        <f t="shared" si="7"/>
        <v>74.599999999999994</v>
      </c>
      <c r="W28" s="52">
        <f t="shared" si="8"/>
        <v>340.40000000000003</v>
      </c>
      <c r="X28" s="52">
        <v>270</v>
      </c>
      <c r="Y28" s="134">
        <v>3</v>
      </c>
    </row>
    <row r="29" spans="1:25" s="19" customFormat="1" ht="31.5" customHeight="1" x14ac:dyDescent="0.25">
      <c r="A29" s="45">
        <v>22</v>
      </c>
      <c r="B29" s="47" t="s">
        <v>67</v>
      </c>
      <c r="C29" s="45">
        <f>390+1125</f>
        <v>1515</v>
      </c>
      <c r="D29" s="45">
        <f>165+12+795+24</f>
        <v>996</v>
      </c>
      <c r="E29" s="45">
        <f t="shared" si="5"/>
        <v>65.7</v>
      </c>
      <c r="F29" s="45">
        <f t="shared" si="6"/>
        <v>398.40000000000003</v>
      </c>
      <c r="G29" s="45">
        <v>270</v>
      </c>
      <c r="H29" s="67">
        <f t="shared" si="0"/>
        <v>4</v>
      </c>
      <c r="I29" s="76" t="s">
        <v>27</v>
      </c>
      <c r="J29" s="85"/>
      <c r="K29" s="80">
        <f>165+12+795+24</f>
        <v>996</v>
      </c>
      <c r="L29" s="45">
        <f>390+1125</f>
        <v>1515</v>
      </c>
      <c r="M29" s="67">
        <f t="shared" si="1"/>
        <v>1086</v>
      </c>
      <c r="N29" s="45">
        <f t="shared" si="2"/>
        <v>71.7</v>
      </c>
      <c r="O29" s="45">
        <f t="shared" si="3"/>
        <v>434.40000000000003</v>
      </c>
      <c r="P29" s="45">
        <v>270</v>
      </c>
      <c r="Q29" s="67">
        <v>6</v>
      </c>
      <c r="R29" s="101">
        <f t="shared" si="4"/>
        <v>4</v>
      </c>
      <c r="S29" s="82"/>
      <c r="T29" s="93">
        <v>1125</v>
      </c>
      <c r="U29" s="52">
        <v>819</v>
      </c>
      <c r="V29" s="51">
        <f t="shared" si="7"/>
        <v>72.8</v>
      </c>
      <c r="W29" s="52">
        <f t="shared" si="8"/>
        <v>327.60000000000002</v>
      </c>
      <c r="X29" s="52">
        <v>270</v>
      </c>
      <c r="Y29" s="134">
        <v>2</v>
      </c>
    </row>
    <row r="30" spans="1:25" s="19" customFormat="1" ht="25.5" customHeight="1" x14ac:dyDescent="0.25">
      <c r="A30" s="45">
        <v>23</v>
      </c>
      <c r="B30" s="47" t="s">
        <v>68</v>
      </c>
      <c r="C30" s="45">
        <f>390+1050</f>
        <v>1440</v>
      </c>
      <c r="D30" s="45">
        <f>165+12+630+22</f>
        <v>829</v>
      </c>
      <c r="E30" s="50">
        <f t="shared" si="5"/>
        <v>57.6</v>
      </c>
      <c r="F30" s="45">
        <f t="shared" si="6"/>
        <v>331.6</v>
      </c>
      <c r="G30" s="45">
        <v>270</v>
      </c>
      <c r="H30" s="67">
        <f t="shared" si="0"/>
        <v>2</v>
      </c>
      <c r="I30" s="73" t="s">
        <v>31</v>
      </c>
      <c r="J30" s="85"/>
      <c r="K30" s="80">
        <f>165+12+630+22</f>
        <v>829</v>
      </c>
      <c r="L30" s="45">
        <f>390+1050</f>
        <v>1440</v>
      </c>
      <c r="M30" s="67">
        <f t="shared" si="1"/>
        <v>919</v>
      </c>
      <c r="N30" s="45">
        <f t="shared" si="2"/>
        <v>63.8</v>
      </c>
      <c r="O30" s="45">
        <f t="shared" si="3"/>
        <v>367.6</v>
      </c>
      <c r="P30" s="45">
        <v>270</v>
      </c>
      <c r="Q30" s="67">
        <v>4</v>
      </c>
      <c r="R30" s="101">
        <f t="shared" si="4"/>
        <v>4</v>
      </c>
      <c r="S30" s="82"/>
      <c r="T30" s="93">
        <v>1050</v>
      </c>
      <c r="U30" s="52">
        <f>630+22</f>
        <v>652</v>
      </c>
      <c r="V30" s="51">
        <f t="shared" si="7"/>
        <v>62.1</v>
      </c>
      <c r="W30" s="52">
        <f t="shared" si="8"/>
        <v>260.8</v>
      </c>
      <c r="X30" s="52">
        <v>270</v>
      </c>
      <c r="Y30" s="134">
        <v>0</v>
      </c>
    </row>
    <row r="31" spans="1:25" s="19" customFormat="1" ht="25.5" customHeight="1" x14ac:dyDescent="0.25">
      <c r="A31" s="45">
        <v>24</v>
      </c>
      <c r="B31" s="47" t="s">
        <v>69</v>
      </c>
      <c r="C31" s="45">
        <f>390+1080</f>
        <v>1470</v>
      </c>
      <c r="D31" s="45">
        <f>720+20+165+12</f>
        <v>917</v>
      </c>
      <c r="E31" s="49">
        <f t="shared" si="5"/>
        <v>62.4</v>
      </c>
      <c r="F31" s="45">
        <f t="shared" si="6"/>
        <v>366.8</v>
      </c>
      <c r="G31" s="45">
        <v>270</v>
      </c>
      <c r="H31" s="67">
        <f t="shared" si="0"/>
        <v>3</v>
      </c>
      <c r="I31" s="73" t="s">
        <v>15</v>
      </c>
      <c r="J31" s="85"/>
      <c r="K31" s="80">
        <f>720+20+165+12</f>
        <v>917</v>
      </c>
      <c r="L31" s="45">
        <f>390+1080</f>
        <v>1470</v>
      </c>
      <c r="M31" s="67">
        <f t="shared" si="1"/>
        <v>1007</v>
      </c>
      <c r="N31" s="45">
        <f t="shared" si="2"/>
        <v>68.5</v>
      </c>
      <c r="O31" s="45">
        <f t="shared" si="3"/>
        <v>402.8</v>
      </c>
      <c r="P31" s="45">
        <v>270</v>
      </c>
      <c r="Q31" s="67">
        <v>5</v>
      </c>
      <c r="R31" s="101">
        <f t="shared" si="4"/>
        <v>4</v>
      </c>
      <c r="S31" s="82"/>
      <c r="T31" s="109">
        <v>1080</v>
      </c>
      <c r="U31" s="51">
        <v>740</v>
      </c>
      <c r="V31" s="51">
        <f t="shared" si="7"/>
        <v>68.5</v>
      </c>
      <c r="W31" s="52">
        <f t="shared" si="8"/>
        <v>296</v>
      </c>
      <c r="X31" s="52">
        <v>270</v>
      </c>
      <c r="Y31" s="134">
        <v>1</v>
      </c>
    </row>
    <row r="32" spans="1:25" s="19" customFormat="1" ht="25.5" customHeight="1" x14ac:dyDescent="0.25">
      <c r="A32" s="45">
        <v>25</v>
      </c>
      <c r="B32" s="47" t="s">
        <v>70</v>
      </c>
      <c r="C32" s="45">
        <f>390+1050</f>
        <v>1440</v>
      </c>
      <c r="D32" s="45">
        <f>645+24+165+12</f>
        <v>846</v>
      </c>
      <c r="E32" s="50">
        <f t="shared" si="5"/>
        <v>58.8</v>
      </c>
      <c r="F32" s="45">
        <f t="shared" si="6"/>
        <v>338.40000000000003</v>
      </c>
      <c r="G32" s="45">
        <v>270</v>
      </c>
      <c r="H32" s="67">
        <f t="shared" si="0"/>
        <v>2</v>
      </c>
      <c r="I32" s="73" t="s">
        <v>30</v>
      </c>
      <c r="J32" s="85"/>
      <c r="K32" s="80">
        <f>645+24+165+12</f>
        <v>846</v>
      </c>
      <c r="L32" s="45">
        <f>390+1050</f>
        <v>1440</v>
      </c>
      <c r="M32" s="67">
        <f t="shared" si="1"/>
        <v>936</v>
      </c>
      <c r="N32" s="45">
        <f t="shared" si="2"/>
        <v>65</v>
      </c>
      <c r="O32" s="45">
        <f t="shared" si="3"/>
        <v>374.40000000000003</v>
      </c>
      <c r="P32" s="45">
        <v>270</v>
      </c>
      <c r="Q32" s="67">
        <v>4</v>
      </c>
      <c r="R32" s="101">
        <f t="shared" si="4"/>
        <v>4</v>
      </c>
      <c r="S32" s="82"/>
      <c r="T32" s="109">
        <v>1050</v>
      </c>
      <c r="U32" s="51">
        <f>645+24</f>
        <v>669</v>
      </c>
      <c r="V32" s="51">
        <f t="shared" si="7"/>
        <v>63.7</v>
      </c>
      <c r="W32" s="52">
        <f t="shared" si="8"/>
        <v>267.60000000000002</v>
      </c>
      <c r="X32" s="52">
        <v>270</v>
      </c>
      <c r="Y32" s="134">
        <v>0</v>
      </c>
    </row>
    <row r="33" spans="1:25" s="19" customFormat="1" ht="25.5" customHeight="1" x14ac:dyDescent="0.25">
      <c r="A33" s="45">
        <v>26</v>
      </c>
      <c r="B33" s="47" t="s">
        <v>71</v>
      </c>
      <c r="C33" s="45">
        <f>1035+390</f>
        <v>1425</v>
      </c>
      <c r="D33" s="45">
        <f>165+12+615+22</f>
        <v>814</v>
      </c>
      <c r="E33" s="50">
        <f t="shared" si="5"/>
        <v>57.1</v>
      </c>
      <c r="F33" s="45">
        <f t="shared" si="6"/>
        <v>325.60000000000002</v>
      </c>
      <c r="G33" s="45">
        <v>270</v>
      </c>
      <c r="H33" s="67">
        <f t="shared" si="0"/>
        <v>2</v>
      </c>
      <c r="I33" s="73" t="s">
        <v>32</v>
      </c>
      <c r="J33" s="85"/>
      <c r="K33" s="80">
        <f>165+12+615+22</f>
        <v>814</v>
      </c>
      <c r="L33" s="45">
        <f>1035+390</f>
        <v>1425</v>
      </c>
      <c r="M33" s="67">
        <f t="shared" si="1"/>
        <v>904</v>
      </c>
      <c r="N33" s="45">
        <f t="shared" si="2"/>
        <v>63.4</v>
      </c>
      <c r="O33" s="45">
        <f t="shared" si="3"/>
        <v>361.6</v>
      </c>
      <c r="P33" s="45">
        <v>270</v>
      </c>
      <c r="Q33" s="67">
        <v>4</v>
      </c>
      <c r="R33" s="101">
        <f t="shared" si="4"/>
        <v>4</v>
      </c>
      <c r="S33" s="82"/>
      <c r="T33" s="93">
        <v>1035</v>
      </c>
      <c r="U33" s="52">
        <f>615+22</f>
        <v>637</v>
      </c>
      <c r="V33" s="51">
        <f t="shared" si="7"/>
        <v>61.5</v>
      </c>
      <c r="W33" s="52">
        <f t="shared" si="8"/>
        <v>254.8</v>
      </c>
      <c r="X33" s="52">
        <v>270</v>
      </c>
      <c r="Y33" s="134">
        <v>0</v>
      </c>
    </row>
    <row r="34" spans="1:25" s="19" customFormat="1" ht="25.5" customHeight="1" x14ac:dyDescent="0.25">
      <c r="A34" s="45">
        <v>27</v>
      </c>
      <c r="B34" s="47" t="s">
        <v>72</v>
      </c>
      <c r="C34" s="45">
        <f>1140+390</f>
        <v>1530</v>
      </c>
      <c r="D34" s="45">
        <f>165+12+825+20</f>
        <v>1022</v>
      </c>
      <c r="E34" s="45">
        <f t="shared" si="5"/>
        <v>66.8</v>
      </c>
      <c r="F34" s="45">
        <f t="shared" si="6"/>
        <v>408.8</v>
      </c>
      <c r="G34" s="45">
        <v>270</v>
      </c>
      <c r="H34" s="67">
        <f t="shared" si="0"/>
        <v>5</v>
      </c>
      <c r="I34" s="73" t="s">
        <v>17</v>
      </c>
      <c r="J34" s="85"/>
      <c r="K34" s="80">
        <f>165+12+825+20</f>
        <v>1022</v>
      </c>
      <c r="L34" s="45">
        <f>1140+390</f>
        <v>1530</v>
      </c>
      <c r="M34" s="67">
        <f t="shared" si="1"/>
        <v>1112</v>
      </c>
      <c r="N34" s="45">
        <f t="shared" si="2"/>
        <v>72.7</v>
      </c>
      <c r="O34" s="45">
        <f t="shared" si="3"/>
        <v>444.8</v>
      </c>
      <c r="P34" s="45">
        <v>270</v>
      </c>
      <c r="Q34" s="67">
        <v>6</v>
      </c>
      <c r="R34" s="101">
        <f t="shared" si="4"/>
        <v>3</v>
      </c>
      <c r="S34" s="82"/>
      <c r="T34" s="93">
        <v>1140</v>
      </c>
      <c r="U34" s="52">
        <f>825+20</f>
        <v>845</v>
      </c>
      <c r="V34" s="51">
        <f t="shared" si="7"/>
        <v>74.099999999999994</v>
      </c>
      <c r="W34" s="52">
        <f t="shared" si="8"/>
        <v>338</v>
      </c>
      <c r="X34" s="52">
        <v>270</v>
      </c>
      <c r="Y34" s="134">
        <v>3</v>
      </c>
    </row>
    <row r="35" spans="1:25" s="19" customFormat="1" ht="24" customHeight="1" x14ac:dyDescent="0.25">
      <c r="A35" s="143" t="s">
        <v>35</v>
      </c>
      <c r="B35" s="143"/>
      <c r="C35" s="45"/>
      <c r="D35" s="55" t="s">
        <v>40</v>
      </c>
      <c r="E35" s="45"/>
      <c r="F35" s="45"/>
      <c r="G35" s="45"/>
      <c r="H35" s="49"/>
      <c r="I35" s="83"/>
      <c r="J35" s="86"/>
      <c r="L35" s="84" t="s">
        <v>38</v>
      </c>
      <c r="M35" s="44"/>
      <c r="N35" s="44"/>
      <c r="O35" s="44"/>
      <c r="P35" s="44"/>
      <c r="Q35" s="44"/>
      <c r="R35" s="133"/>
      <c r="S35" s="82"/>
      <c r="T35" s="94" t="s">
        <v>85</v>
      </c>
      <c r="U35" s="44"/>
      <c r="V35" s="44"/>
      <c r="W35" s="53"/>
      <c r="X35" s="53"/>
      <c r="Y35" s="54"/>
    </row>
    <row r="36" spans="1:25" s="4" customFormat="1" ht="18.75" hidden="1" customHeight="1" x14ac:dyDescent="0.25">
      <c r="B36" s="9"/>
      <c r="C36" s="22"/>
      <c r="D36" s="22"/>
      <c r="E36" s="22"/>
      <c r="F36" s="22"/>
      <c r="G36" s="22"/>
      <c r="H36" s="23"/>
      <c r="I36" s="23"/>
      <c r="J36" s="5"/>
    </row>
    <row r="37" spans="1:25" s="4" customFormat="1" ht="18.75" hidden="1" customHeight="1" x14ac:dyDescent="0.25">
      <c r="B37" s="9"/>
      <c r="C37" s="7">
        <v>1275</v>
      </c>
      <c r="D37" s="7">
        <f>795+26</f>
        <v>821</v>
      </c>
      <c r="E37" s="8">
        <f>ROUND(D37*100/C37,1)</f>
        <v>64.400000000000006</v>
      </c>
      <c r="F37" s="7">
        <f>D37*0.4</f>
        <v>328.40000000000003</v>
      </c>
      <c r="G37" s="7">
        <v>270</v>
      </c>
      <c r="H37" s="6">
        <f t="shared" si="0"/>
        <v>2</v>
      </c>
      <c r="I37" s="6"/>
      <c r="J37" s="15"/>
    </row>
    <row r="38" spans="1:25" s="4" customFormat="1" ht="18.75" hidden="1" customHeight="1" x14ac:dyDescent="0.25">
      <c r="B38" s="13" t="s">
        <v>43</v>
      </c>
      <c r="C38" s="7">
        <v>1305</v>
      </c>
      <c r="D38" s="7">
        <f>855+28</f>
        <v>883</v>
      </c>
      <c r="E38" s="7">
        <f>ROUND(D38*100/C38,1)</f>
        <v>67.7</v>
      </c>
      <c r="F38" s="7">
        <f>D38*0.4</f>
        <v>353.20000000000005</v>
      </c>
      <c r="G38" s="7">
        <v>270</v>
      </c>
      <c r="H38" s="6">
        <f t="shared" si="0"/>
        <v>3</v>
      </c>
      <c r="I38" s="6"/>
      <c r="J38" s="5"/>
    </row>
    <row r="39" spans="1:25" s="4" customFormat="1" ht="18.75" hidden="1" customHeight="1" x14ac:dyDescent="0.25">
      <c r="B39" s="20" t="s">
        <v>41</v>
      </c>
      <c r="C39" s="7">
        <f>390+1125</f>
        <v>1515</v>
      </c>
      <c r="D39" s="7">
        <f>165+12+795+16</f>
        <v>988</v>
      </c>
      <c r="E39" s="8">
        <f>ROUND(D39*100/C39,1)</f>
        <v>65.2</v>
      </c>
      <c r="F39" s="7">
        <f>D39*0.4</f>
        <v>395.20000000000005</v>
      </c>
      <c r="G39" s="7">
        <v>270</v>
      </c>
      <c r="H39" s="6">
        <f t="shared" si="0"/>
        <v>4</v>
      </c>
      <c r="I39" s="6"/>
      <c r="J39" s="15"/>
    </row>
    <row r="40" spans="1:25" s="4" customFormat="1" ht="18.75" hidden="1" customHeight="1" x14ac:dyDescent="0.25">
      <c r="B40" s="20" t="s">
        <v>42</v>
      </c>
      <c r="C40" s="7"/>
      <c r="D40" s="21" t="s">
        <v>39</v>
      </c>
      <c r="E40" s="16"/>
      <c r="F40" s="7"/>
      <c r="G40" s="7"/>
      <c r="H40" s="7"/>
      <c r="I40" s="7"/>
      <c r="J40" s="5"/>
    </row>
    <row r="41" spans="1:25" s="4" customFormat="1" ht="11.25" hidden="1" customHeight="1" x14ac:dyDescent="0.25">
      <c r="B41" s="12"/>
      <c r="C41" s="5"/>
      <c r="D41" s="5"/>
      <c r="E41" s="5"/>
      <c r="F41" s="5"/>
      <c r="G41" s="5"/>
      <c r="H41" s="5"/>
      <c r="I41" s="5"/>
      <c r="J41" s="5"/>
    </row>
    <row r="42" spans="1:25" s="4" customFormat="1" ht="18.75" hidden="1" customHeight="1" x14ac:dyDescent="0.25">
      <c r="B42" s="13" t="s">
        <v>46</v>
      </c>
      <c r="C42" s="5"/>
      <c r="D42" s="5"/>
      <c r="E42" s="5"/>
      <c r="F42" s="5"/>
      <c r="G42" s="5"/>
      <c r="H42" s="5"/>
      <c r="I42" s="5"/>
      <c r="J42" s="5"/>
    </row>
    <row r="43" spans="1:25" s="4" customFormat="1" ht="20.25" hidden="1" customHeight="1" x14ac:dyDescent="0.25">
      <c r="B43" s="10" t="s">
        <v>47</v>
      </c>
      <c r="C43" s="14"/>
      <c r="D43" s="14"/>
      <c r="E43" s="14"/>
      <c r="F43" s="14"/>
      <c r="G43" s="26">
        <v>0.76190000000000002</v>
      </c>
      <c r="I43" s="28" t="s">
        <v>44</v>
      </c>
    </row>
    <row r="44" spans="1:25" ht="20.25" hidden="1" customHeight="1" x14ac:dyDescent="0.25">
      <c r="C44" s="14"/>
      <c r="D44" s="14"/>
      <c r="E44" s="14"/>
      <c r="F44" s="14"/>
      <c r="G44" s="27">
        <v>0.79159999999999997</v>
      </c>
      <c r="I44" s="28" t="s">
        <v>45</v>
      </c>
    </row>
    <row r="45" spans="1:25" ht="18.75" customHeight="1" x14ac:dyDescent="0.25"/>
    <row r="46" spans="1:25" ht="18.75" customHeight="1" x14ac:dyDescent="0.25"/>
    <row r="47" spans="1:25" ht="18.75" customHeight="1" x14ac:dyDescent="0.25"/>
    <row r="48" spans="1:25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</sheetData>
  <mergeCells count="2">
    <mergeCell ref="A35:B35"/>
    <mergeCell ref="A4:Y4"/>
  </mergeCells>
  <printOptions horizontalCentered="1"/>
  <pageMargins left="0.11811023622047245" right="0.11811023622047245" top="0.11811023622047245" bottom="0.11811023622047245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108"/>
  <sheetViews>
    <sheetView tabSelected="1" topLeftCell="J1" zoomScale="115" zoomScaleNormal="115" workbookViewId="0">
      <selection activeCell="Q9" sqref="Q9"/>
    </sheetView>
  </sheetViews>
  <sheetFormatPr defaultRowHeight="15" x14ac:dyDescent="0.25"/>
  <cols>
    <col min="1" max="1" width="3.5703125" style="2" customWidth="1"/>
    <col min="2" max="2" width="16" style="2" customWidth="1"/>
    <col min="3" max="4" width="10.28515625" style="37" customWidth="1"/>
    <col min="5" max="5" width="11.85546875" style="37" customWidth="1"/>
    <col min="6" max="6" width="10.28515625" style="37" customWidth="1"/>
    <col min="7" max="7" width="10.28515625" style="39" customWidth="1"/>
    <col min="8" max="8" width="10.28515625" style="37" customWidth="1"/>
    <col min="9" max="9" width="15.5703125" style="2" hidden="1" customWidth="1"/>
    <col min="10" max="10" width="1.5703125" style="2" customWidth="1"/>
    <col min="11" max="13" width="13.28515625" style="2" customWidth="1"/>
    <col min="14" max="14" width="12" style="2" customWidth="1"/>
    <col min="15" max="17" width="10.28515625" style="2" customWidth="1"/>
    <col min="18" max="18" width="2" style="2" customWidth="1"/>
    <col min="19" max="19" width="14.140625" style="2" customWidth="1"/>
    <col min="20" max="23" width="11.85546875" style="2" customWidth="1"/>
    <col min="24" max="24" width="13.42578125" style="2" customWidth="1"/>
    <col min="25" max="16384" width="9.140625" style="2"/>
  </cols>
  <sheetData>
    <row r="1" spans="1:25" ht="16.5" x14ac:dyDescent="0.25">
      <c r="A1" s="112" t="s">
        <v>93</v>
      </c>
      <c r="C1" s="2"/>
      <c r="D1" s="2"/>
      <c r="E1" s="2"/>
      <c r="F1" s="2"/>
      <c r="G1" s="2"/>
      <c r="H1" s="3"/>
      <c r="I1" s="3"/>
      <c r="U1" s="110" t="s">
        <v>96</v>
      </c>
    </row>
    <row r="2" spans="1:25" ht="16.5" x14ac:dyDescent="0.25">
      <c r="A2" s="29" t="s">
        <v>94</v>
      </c>
      <c r="C2" s="2"/>
      <c r="D2" s="2"/>
      <c r="E2" s="2"/>
      <c r="F2" s="2"/>
      <c r="G2" s="2"/>
      <c r="H2" s="3"/>
      <c r="I2" s="3"/>
      <c r="U2" s="111" t="s">
        <v>97</v>
      </c>
    </row>
    <row r="3" spans="1:25" ht="16.5" x14ac:dyDescent="0.25">
      <c r="A3" s="113" t="s">
        <v>95</v>
      </c>
      <c r="C3" s="2"/>
      <c r="D3" s="2"/>
      <c r="E3" s="2"/>
      <c r="F3" s="2"/>
      <c r="G3" s="2"/>
      <c r="H3" s="3"/>
      <c r="I3" s="3"/>
    </row>
    <row r="4" spans="1:25" s="1" customFormat="1" ht="30.75" customHeight="1" x14ac:dyDescent="0.25">
      <c r="A4" s="145" t="s">
        <v>111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</row>
    <row r="5" spans="1:25" s="1" customFormat="1" ht="9.75" customHeight="1" x14ac:dyDescent="0.25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</row>
    <row r="6" spans="1:25" s="19" customFormat="1" ht="66.75" customHeight="1" x14ac:dyDescent="0.25">
      <c r="A6" s="63" t="s">
        <v>73</v>
      </c>
      <c r="B6" s="64" t="s">
        <v>1</v>
      </c>
      <c r="C6" s="17" t="s">
        <v>78</v>
      </c>
      <c r="D6" s="17" t="s">
        <v>79</v>
      </c>
      <c r="E6" s="17" t="s">
        <v>80</v>
      </c>
      <c r="F6" s="18" t="s">
        <v>81</v>
      </c>
      <c r="G6" s="18" t="s">
        <v>82</v>
      </c>
      <c r="H6" s="68" t="s">
        <v>2</v>
      </c>
      <c r="I6" s="91" t="s">
        <v>77</v>
      </c>
      <c r="J6" s="82"/>
      <c r="K6" s="79" t="s">
        <v>78</v>
      </c>
      <c r="L6" s="71" t="s">
        <v>110</v>
      </c>
      <c r="M6" s="17" t="s">
        <v>80</v>
      </c>
      <c r="N6" s="18" t="s">
        <v>81</v>
      </c>
      <c r="O6" s="18" t="s">
        <v>82</v>
      </c>
      <c r="P6" s="115" t="s">
        <v>2</v>
      </c>
      <c r="Q6" s="138" t="s">
        <v>90</v>
      </c>
      <c r="R6" s="136"/>
      <c r="S6" s="79" t="s">
        <v>105</v>
      </c>
      <c r="T6" s="17" t="s">
        <v>106</v>
      </c>
      <c r="U6" s="17" t="s">
        <v>80</v>
      </c>
      <c r="V6" s="18" t="s">
        <v>81</v>
      </c>
      <c r="W6" s="116" t="s">
        <v>82</v>
      </c>
      <c r="X6" s="68" t="s">
        <v>83</v>
      </c>
    </row>
    <row r="7" spans="1:25" s="19" customFormat="1" ht="28.5" customHeight="1" x14ac:dyDescent="0.25">
      <c r="A7" s="103" t="s">
        <v>102</v>
      </c>
      <c r="B7" s="17"/>
      <c r="C7" s="17"/>
      <c r="D7" s="17"/>
      <c r="E7" s="17"/>
      <c r="F7" s="18"/>
      <c r="G7" s="18"/>
      <c r="H7" s="68"/>
      <c r="I7" s="72"/>
      <c r="J7" s="82"/>
      <c r="K7" s="103" t="s">
        <v>103</v>
      </c>
      <c r="M7" s="122"/>
      <c r="N7" s="17"/>
      <c r="O7" s="18"/>
      <c r="P7" s="119"/>
      <c r="Q7" s="139"/>
      <c r="R7" s="137"/>
      <c r="S7" s="108" t="s">
        <v>104</v>
      </c>
      <c r="X7" s="128"/>
    </row>
    <row r="8" spans="1:25" s="19" customFormat="1" ht="24.75" customHeight="1" x14ac:dyDescent="0.25">
      <c r="A8" s="52">
        <v>1</v>
      </c>
      <c r="B8" s="65" t="s">
        <v>59</v>
      </c>
      <c r="C8" s="52">
        <v>1275</v>
      </c>
      <c r="D8" s="52">
        <v>821</v>
      </c>
      <c r="E8" s="51">
        <f>ROUND(D8*100/C8,1)</f>
        <v>64.400000000000006</v>
      </c>
      <c r="F8" s="52">
        <f>D8*0.4</f>
        <v>328.40000000000003</v>
      </c>
      <c r="G8" s="52">
        <v>270</v>
      </c>
      <c r="H8" s="134">
        <f t="shared" ref="H8" si="0">ROUND((F8-G8)/30,0)</f>
        <v>2</v>
      </c>
      <c r="I8" s="92"/>
      <c r="J8" s="82"/>
      <c r="K8" s="93">
        <v>1275</v>
      </c>
      <c r="L8" s="52">
        <f>821+90</f>
        <v>911</v>
      </c>
      <c r="M8" s="51">
        <f>ROUND(L8*100/K8,1)</f>
        <v>71.5</v>
      </c>
      <c r="N8" s="52">
        <f>L8*0.4</f>
        <v>364.40000000000003</v>
      </c>
      <c r="O8" s="52">
        <v>270</v>
      </c>
      <c r="P8" s="51">
        <v>4</v>
      </c>
      <c r="Q8" s="140">
        <v>4</v>
      </c>
      <c r="R8" s="136"/>
      <c r="S8" s="93">
        <v>960</v>
      </c>
      <c r="T8" s="52">
        <v>698</v>
      </c>
      <c r="U8" s="51">
        <f>ROUND(T8*100/S8,1)</f>
        <v>72.7</v>
      </c>
      <c r="V8" s="52">
        <f>T8*0.4</f>
        <v>279.2</v>
      </c>
      <c r="W8" s="135">
        <v>270</v>
      </c>
      <c r="X8" s="134">
        <f t="shared" ref="X8" si="1">ROUND((V8-W8)/30,0)</f>
        <v>0</v>
      </c>
    </row>
    <row r="9" spans="1:25" s="19" customFormat="1" ht="24.75" customHeight="1" x14ac:dyDescent="0.25">
      <c r="A9" s="143" t="s">
        <v>35</v>
      </c>
      <c r="B9" s="143"/>
      <c r="C9" s="56" t="s">
        <v>86</v>
      </c>
      <c r="D9" s="44"/>
      <c r="E9" s="44"/>
      <c r="F9" s="53"/>
      <c r="G9" s="53"/>
      <c r="H9" s="54"/>
      <c r="I9" s="83"/>
      <c r="J9" s="82"/>
      <c r="K9" s="94" t="s">
        <v>86</v>
      </c>
      <c r="L9" s="44"/>
      <c r="M9" s="44"/>
      <c r="N9" s="53"/>
      <c r="O9" s="53"/>
      <c r="P9" s="54"/>
      <c r="Q9" s="141"/>
      <c r="R9" s="136"/>
      <c r="S9" s="94" t="s">
        <v>86</v>
      </c>
      <c r="T9" s="44"/>
      <c r="U9" s="44"/>
      <c r="V9" s="53"/>
      <c r="W9" s="102"/>
      <c r="X9" s="54"/>
    </row>
    <row r="10" spans="1:25" s="4" customFormat="1" ht="18.75" hidden="1" customHeight="1" x14ac:dyDescent="0.25">
      <c r="B10" s="9"/>
      <c r="C10" s="31"/>
      <c r="D10" s="31"/>
      <c r="E10" s="31"/>
      <c r="F10" s="31"/>
      <c r="G10" s="31"/>
      <c r="H10" s="32"/>
      <c r="I10" s="23"/>
    </row>
    <row r="11" spans="1:25" s="4" customFormat="1" ht="18.75" hidden="1" customHeight="1" x14ac:dyDescent="0.25">
      <c r="B11" s="9"/>
      <c r="C11" s="33"/>
      <c r="D11" s="33"/>
      <c r="E11" s="33"/>
      <c r="F11" s="31"/>
      <c r="G11" s="31"/>
      <c r="H11" s="32"/>
      <c r="I11" s="6"/>
    </row>
    <row r="12" spans="1:25" s="4" customFormat="1" ht="18.75" hidden="1" customHeight="1" x14ac:dyDescent="0.25">
      <c r="B12" s="13" t="s">
        <v>43</v>
      </c>
      <c r="C12" s="31"/>
      <c r="D12" s="31"/>
      <c r="E12" s="31"/>
      <c r="F12" s="31"/>
      <c r="G12" s="31"/>
      <c r="H12" s="32"/>
      <c r="I12" s="6"/>
    </row>
    <row r="13" spans="1:25" s="4" customFormat="1" ht="18.75" hidden="1" customHeight="1" x14ac:dyDescent="0.25">
      <c r="B13" s="20" t="s">
        <v>41</v>
      </c>
      <c r="C13" s="33"/>
      <c r="D13" s="33"/>
      <c r="E13" s="33"/>
      <c r="F13" s="31"/>
      <c r="G13" s="31"/>
      <c r="H13" s="32"/>
      <c r="I13" s="6"/>
    </row>
    <row r="14" spans="1:25" s="4" customFormat="1" ht="18.75" hidden="1" customHeight="1" x14ac:dyDescent="0.25">
      <c r="B14" s="20" t="s">
        <v>42</v>
      </c>
      <c r="C14" s="42"/>
      <c r="D14" s="40" t="s">
        <v>36</v>
      </c>
      <c r="E14" s="41" t="s">
        <v>39</v>
      </c>
      <c r="F14" s="43"/>
      <c r="G14" s="43"/>
      <c r="H14" s="43"/>
      <c r="I14" s="7"/>
    </row>
    <row r="15" spans="1:25" s="4" customFormat="1" ht="11.25" hidden="1" customHeight="1" x14ac:dyDescent="0.25">
      <c r="B15" s="12"/>
      <c r="C15" s="34"/>
      <c r="D15" s="34"/>
      <c r="E15" s="34"/>
      <c r="F15" s="34"/>
      <c r="G15" s="34"/>
      <c r="H15" s="34"/>
      <c r="I15" s="5"/>
    </row>
    <row r="16" spans="1:25" s="4" customFormat="1" ht="18.75" hidden="1" customHeight="1" x14ac:dyDescent="0.25">
      <c r="B16" s="13" t="s">
        <v>46</v>
      </c>
      <c r="C16" s="34"/>
      <c r="D16" s="34"/>
      <c r="E16" s="34"/>
      <c r="F16" s="34"/>
      <c r="G16" s="34"/>
      <c r="H16" s="34"/>
      <c r="I16" s="5"/>
    </row>
    <row r="17" spans="2:17" s="4" customFormat="1" ht="20.25" hidden="1" customHeight="1" x14ac:dyDescent="0.25">
      <c r="B17" s="10" t="s">
        <v>47</v>
      </c>
      <c r="C17" s="35"/>
      <c r="D17" s="35"/>
      <c r="E17" s="35"/>
      <c r="F17" s="35"/>
      <c r="G17" s="36">
        <v>1</v>
      </c>
      <c r="H17" s="35"/>
      <c r="I17" s="28" t="s">
        <v>44</v>
      </c>
    </row>
    <row r="18" spans="2:17" ht="20.25" hidden="1" customHeight="1" x14ac:dyDescent="0.25">
      <c r="G18" s="38">
        <v>1</v>
      </c>
      <c r="I18" s="28" t="s">
        <v>45</v>
      </c>
    </row>
    <row r="19" spans="2:17" ht="18.75" customHeight="1" x14ac:dyDescent="0.25"/>
    <row r="20" spans="2:17" ht="18.75" customHeight="1" x14ac:dyDescent="0.25"/>
    <row r="21" spans="2:17" ht="18.75" customHeight="1" x14ac:dyDescent="0.25"/>
    <row r="22" spans="2:17" ht="18.75" hidden="1" customHeight="1" x14ac:dyDescent="0.25">
      <c r="C22" s="2" t="s">
        <v>87</v>
      </c>
      <c r="D22" s="2">
        <v>821</v>
      </c>
      <c r="E22" s="2">
        <v>1275</v>
      </c>
      <c r="F22" s="2">
        <f t="shared" ref="F22" si="2">ROUND(D22*100/E22,1)</f>
        <v>64.400000000000006</v>
      </c>
      <c r="G22" s="45">
        <f t="shared" ref="G22" si="3">D22*0.4</f>
        <v>328.40000000000003</v>
      </c>
      <c r="H22" s="3">
        <v>270</v>
      </c>
      <c r="I22" s="2">
        <f t="shared" ref="I22" si="4">ROUND((G22-H22)/30,0)</f>
        <v>2</v>
      </c>
      <c r="L22" s="37">
        <v>698</v>
      </c>
      <c r="M22" s="37">
        <v>960</v>
      </c>
      <c r="N22" s="37">
        <f t="shared" ref="N22" si="5">ROUND(L22*100/M22,1)</f>
        <v>72.7</v>
      </c>
      <c r="O22" s="37">
        <f t="shared" ref="O22" si="6">L22*0.4</f>
        <v>279.2</v>
      </c>
      <c r="P22" s="39">
        <v>270</v>
      </c>
      <c r="Q22" s="37">
        <f t="shared" ref="Q22" si="7">ROUND((O22-P22)/30,0)</f>
        <v>0</v>
      </c>
    </row>
    <row r="23" spans="2:17" ht="18.75" customHeight="1" x14ac:dyDescent="0.25"/>
    <row r="24" spans="2:17" ht="18.75" customHeight="1" x14ac:dyDescent="0.25"/>
    <row r="25" spans="2:17" ht="18.75" customHeight="1" x14ac:dyDescent="0.25"/>
    <row r="26" spans="2:17" ht="18.75" customHeight="1" x14ac:dyDescent="0.25"/>
    <row r="27" spans="2:17" ht="18.75" customHeight="1" x14ac:dyDescent="0.25"/>
    <row r="28" spans="2:17" ht="18.75" customHeight="1" x14ac:dyDescent="0.25"/>
    <row r="29" spans="2:17" ht="18.75" customHeight="1" x14ac:dyDescent="0.25"/>
    <row r="30" spans="2:17" ht="18.75" customHeight="1" x14ac:dyDescent="0.25"/>
    <row r="31" spans="2:17" ht="18.75" customHeight="1" x14ac:dyDescent="0.25"/>
    <row r="32" spans="2:17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</sheetData>
  <mergeCells count="2">
    <mergeCell ref="A9:B9"/>
    <mergeCell ref="A4:Y4"/>
  </mergeCells>
  <printOptions horizontalCentered="1"/>
  <pageMargins left="0.11811023622047245" right="0.11811023622047245" top="0.11811023622047245" bottom="0.1181102362204724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TK-18C1</vt:lpstr>
      <vt:lpstr>TK-18C2</vt:lpstr>
      <vt:lpstr>TK-18T4</vt:lpstr>
      <vt:lpstr>TK-18T2</vt:lpstr>
      <vt:lpstr>'TK-18C1'!Print_Titles</vt:lpstr>
      <vt:lpstr>'TK-18T4'!Print_Titles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Mai</cp:lastModifiedBy>
  <cp:lastPrinted>2019-11-06T05:07:27Z</cp:lastPrinted>
  <dcterms:created xsi:type="dcterms:W3CDTF">2019-10-08T01:03:30Z</dcterms:created>
  <dcterms:modified xsi:type="dcterms:W3CDTF">2019-11-06T07:16:49Z</dcterms:modified>
</cp:coreProperties>
</file>